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5505" windowHeight="4755" activeTab="0"/>
  </bookViews>
  <sheets>
    <sheet name="6dB3wayType1" sheetId="1" r:id="rId1"/>
    <sheet name="6dB3wayType2" sheetId="2" r:id="rId2"/>
    <sheet name="12dB3wayType1" sheetId="3" r:id="rId3"/>
    <sheet name="12dB3wayType2" sheetId="4" r:id="rId4"/>
    <sheet name="12dB3wayType3" sheetId="5" r:id="rId5"/>
    <sheet name="12&amp;6dB3wayType" sheetId="6" r:id="rId6"/>
    <sheet name="18dB3wayType" sheetId="7" r:id="rId7"/>
    <sheet name="SpeakerCorrection1" sheetId="8" r:id="rId8"/>
    <sheet name="SpeakerCorrection2" sheetId="9" r:id="rId9"/>
    <sheet name="SpeakerCorrection3" sheetId="10" r:id="rId10"/>
    <sheet name="SpeakerCorrection4" sheetId="11" r:id="rId11"/>
  </sheets>
  <definedNames>
    <definedName name="_xlnm.Print_Area" localSheetId="5">'12&amp;6dB3wayType'!$A$1:$P$30</definedName>
    <definedName name="_xlnm.Print_Area" localSheetId="2">'12dB3wayType1'!$A$1:$H$30</definedName>
    <definedName name="_xlnm.Print_Area" localSheetId="3">'12dB3wayType2'!$A$1:$H$30</definedName>
    <definedName name="_xlnm.Print_Area" localSheetId="4">'12dB3wayType3'!$A$1:$H$30</definedName>
    <definedName name="_xlnm.Print_Area" localSheetId="6">'18dB3wayType'!$A$1:$I$30</definedName>
    <definedName name="_xlnm.Print_Area" localSheetId="0">'6dB3wayType1'!$A$1:$P$30</definedName>
    <definedName name="_xlnm.Print_Area" localSheetId="1">'6dB3wayType2'!$A$1:$H$30</definedName>
    <definedName name="_xlnm.Print_Area" localSheetId="7">'SpeakerCorrection1'!$A$1:$H$33</definedName>
    <definedName name="_xlnm.Print_Area" localSheetId="8">'SpeakerCorrection2'!$A$1:$H$33</definedName>
    <definedName name="_xlnm.Print_Area" localSheetId="9">'SpeakerCorrection3'!$A$1:$H$33</definedName>
    <definedName name="_xlnm.Print_Area" localSheetId="10">'SpeakerCorrection4'!$A$1:$H$33</definedName>
  </definedNames>
  <calcPr fullCalcOnLoad="1"/>
</workbook>
</file>

<file path=xl/comments1.xml><?xml version="1.0" encoding="utf-8"?>
<comments xmlns="http://schemas.openxmlformats.org/spreadsheetml/2006/main">
  <authors>
    <author>伊東　哲夫</author>
  </authors>
  <commentList>
    <comment ref="B23" authorId="0">
      <text>
        <r>
          <rPr>
            <b/>
            <sz val="10"/>
            <rFont val="ＭＳ Ｐゴシック"/>
            <family val="3"/>
          </rPr>
          <t>Previous (correction) Effective Resistance
The virtual resistance that is calculated by active power and effective current is called the effective resistance.It becomes equal with alternating current resistance, (impedance = alternating current resistance + reactance) including direct current resistance, emission resistance, eddy current loss,and etc.If reactance(ingredient of LC) is zero, it becomes equal with the nominal impedance. It is 110% - 130% of the direct current resistance in the case of the speaker.</t>
        </r>
      </text>
    </comment>
    <comment ref="B24" authorId="0">
      <text>
        <r>
          <rPr>
            <b/>
            <sz val="10"/>
            <rFont val="ＭＳ Ｐゴシック"/>
            <family val="3"/>
          </rPr>
          <t>Previous (correction) sensitivity</t>
        </r>
      </text>
    </comment>
    <comment ref="B26" authorId="0">
      <text>
        <r>
          <rPr>
            <b/>
            <sz val="10"/>
            <rFont val="ＭＳ Ｐゴシック"/>
            <family val="3"/>
          </rPr>
          <t>Attenuator parallel resistor</t>
        </r>
      </text>
    </comment>
    <comment ref="B27" authorId="0">
      <text>
        <r>
          <rPr>
            <b/>
            <sz val="10"/>
            <rFont val="ＭＳ Ｐゴシック"/>
            <family val="3"/>
          </rPr>
          <t>Attenuator series resistor</t>
        </r>
      </text>
    </comment>
    <comment ref="B29" authorId="0">
      <text>
        <r>
          <rPr>
            <b/>
            <sz val="10"/>
            <rFont val="ＭＳ Ｐゴシック"/>
            <family val="3"/>
          </rPr>
          <t>Difference from adjusting sensitivity
in magnification</t>
        </r>
      </text>
    </comment>
    <comment ref="B30" authorId="0">
      <text>
        <r>
          <rPr>
            <b/>
            <sz val="10"/>
            <rFont val="ＭＳ Ｐゴシック"/>
            <family val="3"/>
          </rPr>
          <t>Difference from adjusting sensitivity
in dB</t>
        </r>
      </text>
    </comment>
    <comment ref="G16" authorId="0">
      <text>
        <r>
          <rPr>
            <b/>
            <sz val="10"/>
            <rFont val="ＭＳ Ｐゴシック"/>
            <family val="3"/>
          </rPr>
          <t>Select corrective circuit type 1-4.
1:Series  type 6dB/oct
2:Parallel type 6dB/oct
3:Series  type 12dB/oct
4:Parallel type 12dB/oct</t>
        </r>
      </text>
    </comment>
    <comment ref="B28" authorId="0">
      <text>
        <r>
          <rPr>
            <b/>
            <sz val="10"/>
            <rFont val="ＭＳ Ｐゴシック"/>
            <family val="3"/>
          </rPr>
          <t>After (correction) effective resistance</t>
        </r>
      </text>
    </comment>
    <comment ref="B25" authorId="0">
      <text>
        <r>
          <rPr>
            <b/>
            <sz val="10"/>
            <rFont val="ＭＳ Ｐゴシック"/>
            <family val="3"/>
          </rPr>
          <t>Attenuator of resistor use flag
1:Use   0 or empty:Not use</t>
        </r>
      </text>
    </comment>
  </commentList>
</comments>
</file>

<file path=xl/comments10.xml><?xml version="1.0" encoding="utf-8"?>
<comments xmlns="http://schemas.openxmlformats.org/spreadsheetml/2006/main">
  <authors>
    <author>伊東　哲夫</author>
  </authors>
  <commentList>
    <comment ref="B19" authorId="0">
      <text>
        <r>
          <rPr>
            <b/>
            <sz val="10"/>
            <rFont val="ＭＳ Ｐゴシック"/>
            <family val="3"/>
          </rPr>
          <t>After correction, speaker may be suitable to be connected reverse because phase changes greatly.  
Connection order   :0
Connection reverse:1</t>
        </r>
      </text>
    </comment>
    <comment ref="B26" authorId="0">
      <text>
        <r>
          <rPr>
            <b/>
            <sz val="10"/>
            <rFont val="ＭＳ Ｐゴシック"/>
            <family val="3"/>
          </rPr>
          <t>Previous (correction) Effective Resistance
The virtual resistance that is calculated by active power and effective current is called the effective resistance.It becomes equal with alternating current resistance, (impedance = alternating current resistance + reactance) including direct current resistance, emission resistance, eddy current loss,and etc.If reactance(ingredient of LC) is zero, it becomes equal with the nominal impedance. It is 110% - 130% of the direct current resistance in the case of the speaker.</t>
        </r>
      </text>
    </comment>
    <comment ref="B27" authorId="0">
      <text>
        <r>
          <rPr>
            <b/>
            <sz val="10"/>
            <rFont val="ＭＳ Ｐゴシック"/>
            <family val="3"/>
          </rPr>
          <t>Previous (correction) sensitivity</t>
        </r>
      </text>
    </comment>
    <comment ref="B28" authorId="0">
      <text>
        <r>
          <rPr>
            <b/>
            <sz val="10"/>
            <rFont val="ＭＳ Ｐゴシック"/>
            <family val="3"/>
          </rPr>
          <t xml:space="preserve">Using method regarding attenuator of resistor.
2:For input resistance Rip only.
1:For Sensitivity Sip &amp; input resistance Rip.
0 or empty:Do not use. </t>
        </r>
      </text>
    </comment>
    <comment ref="B29" authorId="0">
      <text>
        <r>
          <rPr>
            <b/>
            <sz val="10"/>
            <rFont val="ＭＳ Ｐゴシック"/>
            <family val="3"/>
          </rPr>
          <t>Attenuator parallel resistor</t>
        </r>
      </text>
    </comment>
    <comment ref="B30" authorId="0">
      <text>
        <r>
          <rPr>
            <b/>
            <sz val="10"/>
            <rFont val="ＭＳ Ｐゴシック"/>
            <family val="3"/>
          </rPr>
          <t>Attenuator series resistor</t>
        </r>
      </text>
    </comment>
    <comment ref="B31" authorId="0">
      <text>
        <r>
          <rPr>
            <b/>
            <sz val="10"/>
            <rFont val="ＭＳ Ｐゴシック"/>
            <family val="3"/>
          </rPr>
          <t>After (correction) effective resistance</t>
        </r>
      </text>
    </comment>
    <comment ref="B32" authorId="0">
      <text>
        <r>
          <rPr>
            <b/>
            <sz val="10"/>
            <rFont val="ＭＳ Ｐゴシック"/>
            <family val="3"/>
          </rPr>
          <t>Difference from adjusting sensitivity
in magnification</t>
        </r>
      </text>
    </comment>
    <comment ref="B33" authorId="0">
      <text>
        <r>
          <rPr>
            <b/>
            <sz val="10"/>
            <rFont val="ＭＳ Ｐゴシック"/>
            <family val="3"/>
          </rPr>
          <t>Difference from adjusting sensitivity
in dB</t>
        </r>
      </text>
    </comment>
  </commentList>
</comments>
</file>

<file path=xl/comments11.xml><?xml version="1.0" encoding="utf-8"?>
<comments xmlns="http://schemas.openxmlformats.org/spreadsheetml/2006/main">
  <authors>
    <author>伊東　哲夫</author>
  </authors>
  <commentList>
    <comment ref="B19" authorId="0">
      <text>
        <r>
          <rPr>
            <b/>
            <sz val="10"/>
            <rFont val="ＭＳ Ｐゴシック"/>
            <family val="3"/>
          </rPr>
          <t>After correction, speaker may be suitable to be connected reverse because phase changes greatly.  
Connection order   :0
Connection reverse:1</t>
        </r>
      </text>
    </comment>
    <comment ref="B26" authorId="0">
      <text>
        <r>
          <rPr>
            <b/>
            <sz val="10"/>
            <rFont val="ＭＳ Ｐゴシック"/>
            <family val="3"/>
          </rPr>
          <t>Previous (correction) Effective Resistance
The virtual resistance that is calculated by active power and effective current is called the effective resistance.It becomes equal with alternating current resistance, (impedance = alternating current resistance + reactance) including direct current resistance, emission resistance, eddy current loss,and etc.If reactance(ingredient of LC) is zero, it becomes equal with the nominal impedance. It is 110% - 130% of the direct current resistance in the case of the speaker.</t>
        </r>
      </text>
    </comment>
    <comment ref="B27" authorId="0">
      <text>
        <r>
          <rPr>
            <b/>
            <sz val="10"/>
            <rFont val="ＭＳ Ｐゴシック"/>
            <family val="3"/>
          </rPr>
          <t>Previous (correction) sensitivity</t>
        </r>
      </text>
    </comment>
    <comment ref="B28" authorId="0">
      <text>
        <r>
          <rPr>
            <b/>
            <sz val="10"/>
            <rFont val="ＭＳ Ｐゴシック"/>
            <family val="3"/>
          </rPr>
          <t xml:space="preserve">Using method regarding attenuator of resistor.
2:For input resistance Rip only.
1:For Sensitivity Sip &amp; input resistance Rip.
0 or empty:Do not use. </t>
        </r>
      </text>
    </comment>
    <comment ref="B29" authorId="0">
      <text>
        <r>
          <rPr>
            <b/>
            <sz val="10"/>
            <rFont val="ＭＳ Ｐゴシック"/>
            <family val="3"/>
          </rPr>
          <t>Attenuator parallel resistor</t>
        </r>
      </text>
    </comment>
    <comment ref="B30" authorId="0">
      <text>
        <r>
          <rPr>
            <b/>
            <sz val="10"/>
            <rFont val="ＭＳ Ｐゴシック"/>
            <family val="3"/>
          </rPr>
          <t>Attenuator series resistor</t>
        </r>
      </text>
    </comment>
    <comment ref="B31" authorId="0">
      <text>
        <r>
          <rPr>
            <b/>
            <sz val="10"/>
            <rFont val="ＭＳ Ｐゴシック"/>
            <family val="3"/>
          </rPr>
          <t>After (correction) effective resistance</t>
        </r>
      </text>
    </comment>
    <comment ref="B32" authorId="0">
      <text>
        <r>
          <rPr>
            <b/>
            <sz val="10"/>
            <rFont val="ＭＳ Ｐゴシック"/>
            <family val="3"/>
          </rPr>
          <t>Difference from adjusting sensitivity
in magnification</t>
        </r>
      </text>
    </comment>
    <comment ref="B33" authorId="0">
      <text>
        <r>
          <rPr>
            <b/>
            <sz val="10"/>
            <rFont val="ＭＳ Ｐゴシック"/>
            <family val="3"/>
          </rPr>
          <t>Difference from adjusting sensitivity
in dB</t>
        </r>
      </text>
    </comment>
  </commentList>
</comments>
</file>

<file path=xl/comments2.xml><?xml version="1.0" encoding="utf-8"?>
<comments xmlns="http://schemas.openxmlformats.org/spreadsheetml/2006/main">
  <authors>
    <author>伊東　哲夫</author>
  </authors>
  <commentList>
    <comment ref="B23" authorId="0">
      <text>
        <r>
          <rPr>
            <b/>
            <sz val="10"/>
            <rFont val="ＭＳ Ｐゴシック"/>
            <family val="3"/>
          </rPr>
          <t>Previous (correction) Effective Resistance
The virtual resistance that is calculated by active power and effective current is called the effective resistance.It becomes equal with alternating current resistance, (impedance = alternating current resistance + reactance) including direct current resistance, emission resistance, eddy current loss,and etc.If reactance(ingredient of LC) is zero, it becomes equal with the nominal impedance. It is 110% - 130% of the direct current resistance in the case of the speaker.</t>
        </r>
      </text>
    </comment>
    <comment ref="B24" authorId="0">
      <text>
        <r>
          <rPr>
            <b/>
            <sz val="10"/>
            <rFont val="ＭＳ Ｐゴシック"/>
            <family val="3"/>
          </rPr>
          <t>Previous (correction) sensitivity</t>
        </r>
      </text>
    </comment>
    <comment ref="B26" authorId="0">
      <text>
        <r>
          <rPr>
            <b/>
            <sz val="10"/>
            <rFont val="ＭＳ Ｐゴシック"/>
            <family val="3"/>
          </rPr>
          <t>Attenuator parallel resistor</t>
        </r>
      </text>
    </comment>
    <comment ref="B27" authorId="0">
      <text>
        <r>
          <rPr>
            <b/>
            <sz val="10"/>
            <rFont val="ＭＳ Ｐゴシック"/>
            <family val="3"/>
          </rPr>
          <t>Attenuator series resistor</t>
        </r>
      </text>
    </comment>
    <comment ref="B29" authorId="0">
      <text>
        <r>
          <rPr>
            <b/>
            <sz val="10"/>
            <rFont val="ＭＳ Ｐゴシック"/>
            <family val="3"/>
          </rPr>
          <t>Difference from adjusting sensitivity
in magnification</t>
        </r>
      </text>
    </comment>
    <comment ref="B30" authorId="0">
      <text>
        <r>
          <rPr>
            <b/>
            <sz val="10"/>
            <rFont val="ＭＳ Ｐゴシック"/>
            <family val="3"/>
          </rPr>
          <t>Difference from adjusting sensitivity
in dB</t>
        </r>
      </text>
    </comment>
    <comment ref="G16" authorId="0">
      <text>
        <r>
          <rPr>
            <b/>
            <sz val="10"/>
            <rFont val="ＭＳ Ｐゴシック"/>
            <family val="3"/>
          </rPr>
          <t>Select corrective circuit type 1-4.
1:Series  type 6dB/oct
2:Parallel type 6dB/oct
3:Series  type 12dB/oct
4:Parallel type 12dB/oct</t>
        </r>
      </text>
    </comment>
    <comment ref="B28" authorId="0">
      <text>
        <r>
          <rPr>
            <b/>
            <sz val="10"/>
            <rFont val="ＭＳ Ｐゴシック"/>
            <family val="3"/>
          </rPr>
          <t>After (correction) effective resistance</t>
        </r>
      </text>
    </comment>
    <comment ref="B25" authorId="0">
      <text>
        <r>
          <rPr>
            <b/>
            <sz val="10"/>
            <rFont val="ＭＳ Ｐゴシック"/>
            <family val="3"/>
          </rPr>
          <t>Attenuator of resistor use flag
1:Use   0 or empty:Not use</t>
        </r>
      </text>
    </comment>
  </commentList>
</comments>
</file>

<file path=xl/comments3.xml><?xml version="1.0" encoding="utf-8"?>
<comments xmlns="http://schemas.openxmlformats.org/spreadsheetml/2006/main">
  <authors>
    <author>伊東　哲夫</author>
  </authors>
  <commentList>
    <comment ref="B23" authorId="0">
      <text>
        <r>
          <rPr>
            <b/>
            <sz val="10"/>
            <rFont val="ＭＳ Ｐゴシック"/>
            <family val="3"/>
          </rPr>
          <t>Previous (correction) Effective Resistance
The virtual resistance that is calculated by active power and effective current is called the effective resistance.It becomes equal with alternating current resistance, (impedance = alternating current resistance + reactance) including direct current resistance, emission resistance, eddy current loss,and etc.If reactance(ingredient of LC) is zero, it becomes equal with the nominal impedance. It is 110% - 130% of the direct current resistance in the case of the speaker.</t>
        </r>
      </text>
    </comment>
    <comment ref="B24" authorId="0">
      <text>
        <r>
          <rPr>
            <b/>
            <sz val="10"/>
            <rFont val="ＭＳ Ｐゴシック"/>
            <family val="3"/>
          </rPr>
          <t>Previous (correction) sensitivity</t>
        </r>
      </text>
    </comment>
    <comment ref="B26" authorId="0">
      <text>
        <r>
          <rPr>
            <b/>
            <sz val="10"/>
            <rFont val="ＭＳ Ｐゴシック"/>
            <family val="3"/>
          </rPr>
          <t>Attenuator parallel resistor</t>
        </r>
      </text>
    </comment>
    <comment ref="B27" authorId="0">
      <text>
        <r>
          <rPr>
            <b/>
            <sz val="10"/>
            <rFont val="ＭＳ Ｐゴシック"/>
            <family val="3"/>
          </rPr>
          <t>Attenuator series resistor</t>
        </r>
      </text>
    </comment>
    <comment ref="B29" authorId="0">
      <text>
        <r>
          <rPr>
            <b/>
            <sz val="10"/>
            <rFont val="ＭＳ Ｐゴシック"/>
            <family val="3"/>
          </rPr>
          <t>Difference from adjusting sensitivity
in magnification</t>
        </r>
      </text>
    </comment>
    <comment ref="B30" authorId="0">
      <text>
        <r>
          <rPr>
            <b/>
            <sz val="10"/>
            <rFont val="ＭＳ Ｐゴシック"/>
            <family val="3"/>
          </rPr>
          <t>Difference from adjusting sensitivity
in dB</t>
        </r>
      </text>
    </comment>
    <comment ref="G16" authorId="0">
      <text>
        <r>
          <rPr>
            <b/>
            <sz val="10"/>
            <rFont val="ＭＳ Ｐゴシック"/>
            <family val="3"/>
          </rPr>
          <t>Select corrective circuit type 1-4.
1:Series  type 6dB/oct
2:Parallel type 6dB/oct
3:Series  type 12dB/oct
4:Parallel type 12dB/oct</t>
        </r>
      </text>
    </comment>
    <comment ref="B28" authorId="0">
      <text>
        <r>
          <rPr>
            <b/>
            <sz val="10"/>
            <rFont val="ＭＳ Ｐゴシック"/>
            <family val="3"/>
          </rPr>
          <t>After (correction) effective resistance</t>
        </r>
      </text>
    </comment>
    <comment ref="B25" authorId="0">
      <text>
        <r>
          <rPr>
            <b/>
            <sz val="10"/>
            <rFont val="ＭＳ Ｐゴシック"/>
            <family val="3"/>
          </rPr>
          <t>Attenuator of resistor use flag
1:Use   0 or empty:Not use</t>
        </r>
      </text>
    </comment>
  </commentList>
</comments>
</file>

<file path=xl/comments4.xml><?xml version="1.0" encoding="utf-8"?>
<comments xmlns="http://schemas.openxmlformats.org/spreadsheetml/2006/main">
  <authors>
    <author>伊東　哲夫</author>
  </authors>
  <commentList>
    <comment ref="B23" authorId="0">
      <text>
        <r>
          <rPr>
            <b/>
            <sz val="10"/>
            <rFont val="ＭＳ Ｐゴシック"/>
            <family val="3"/>
          </rPr>
          <t>Previous (correction) Effective Resistance
The virtual resistance that is calculated by active power and effective current is called the effective resistance.It becomes equal with alternating current resistance, (impedance = alternating current resistance + reactance) including direct current resistance, emission resistance, eddy current loss,and etc.If reactance(ingredient of LC) is zero, it becomes equal with the nominal impedance. It is 110% - 130% of the direct current resistance in the case of the speaker.</t>
        </r>
      </text>
    </comment>
    <comment ref="B24" authorId="0">
      <text>
        <r>
          <rPr>
            <b/>
            <sz val="10"/>
            <rFont val="ＭＳ Ｐゴシック"/>
            <family val="3"/>
          </rPr>
          <t>Previous (correction) sensitivity</t>
        </r>
      </text>
    </comment>
    <comment ref="B26" authorId="0">
      <text>
        <r>
          <rPr>
            <b/>
            <sz val="10"/>
            <rFont val="ＭＳ Ｐゴシック"/>
            <family val="3"/>
          </rPr>
          <t>Attenuator parallel resistor</t>
        </r>
      </text>
    </comment>
    <comment ref="B27" authorId="0">
      <text>
        <r>
          <rPr>
            <b/>
            <sz val="10"/>
            <rFont val="ＭＳ Ｐゴシック"/>
            <family val="3"/>
          </rPr>
          <t>Attenuator series resistor</t>
        </r>
      </text>
    </comment>
    <comment ref="B29" authorId="0">
      <text>
        <r>
          <rPr>
            <b/>
            <sz val="10"/>
            <rFont val="ＭＳ Ｐゴシック"/>
            <family val="3"/>
          </rPr>
          <t>Difference from adjusting sensitivity
in magnification</t>
        </r>
      </text>
    </comment>
    <comment ref="B30" authorId="0">
      <text>
        <r>
          <rPr>
            <b/>
            <sz val="10"/>
            <rFont val="ＭＳ Ｐゴシック"/>
            <family val="3"/>
          </rPr>
          <t>Difference from adjusting sensitivity
in dB</t>
        </r>
      </text>
    </comment>
    <comment ref="G16" authorId="0">
      <text>
        <r>
          <rPr>
            <b/>
            <sz val="10"/>
            <rFont val="ＭＳ Ｐゴシック"/>
            <family val="3"/>
          </rPr>
          <t>Select corrective circuit type 1-4.
1:Series  type 6dB/oct
2:Parallel type 6dB/oct
3:Series  type 12dB/oct
4:Parallel type 12dB/oct</t>
        </r>
      </text>
    </comment>
    <comment ref="B28" authorId="0">
      <text>
        <r>
          <rPr>
            <b/>
            <sz val="10"/>
            <rFont val="ＭＳ Ｐゴシック"/>
            <family val="3"/>
          </rPr>
          <t>After (correction) effective resistance</t>
        </r>
      </text>
    </comment>
    <comment ref="B25" authorId="0">
      <text>
        <r>
          <rPr>
            <b/>
            <sz val="10"/>
            <rFont val="ＭＳ Ｐゴシック"/>
            <family val="3"/>
          </rPr>
          <t>Attenuator of resistor use flag
1:Use   0 or empty:Not use</t>
        </r>
      </text>
    </comment>
  </commentList>
</comments>
</file>

<file path=xl/comments5.xml><?xml version="1.0" encoding="utf-8"?>
<comments xmlns="http://schemas.openxmlformats.org/spreadsheetml/2006/main">
  <authors>
    <author>伊東　哲夫</author>
  </authors>
  <commentList>
    <comment ref="B23" authorId="0">
      <text>
        <r>
          <rPr>
            <b/>
            <sz val="10"/>
            <rFont val="ＭＳ Ｐゴシック"/>
            <family val="3"/>
          </rPr>
          <t>Previous (correction) Effective Resistance
The virtual resistance that is calculated by active power and effective current is called the effective resistance.It becomes equal with alternating current resistance, (impedance = alternating current resistance + reactance) including direct current resistance, emission resistance, eddy current loss,and etc.If reactance(ingredient of LC) is zero, it becomes equal with the nominal impedance. It is 110% - 130% of the direct current resistance in the case of the speaker.</t>
        </r>
      </text>
    </comment>
    <comment ref="B24" authorId="0">
      <text>
        <r>
          <rPr>
            <b/>
            <sz val="10"/>
            <rFont val="ＭＳ Ｐゴシック"/>
            <family val="3"/>
          </rPr>
          <t>Previous (correction) sensitivity</t>
        </r>
      </text>
    </comment>
    <comment ref="B26" authorId="0">
      <text>
        <r>
          <rPr>
            <b/>
            <sz val="10"/>
            <rFont val="ＭＳ Ｐゴシック"/>
            <family val="3"/>
          </rPr>
          <t>Attenuator parallel resistor</t>
        </r>
      </text>
    </comment>
    <comment ref="B27" authorId="0">
      <text>
        <r>
          <rPr>
            <b/>
            <sz val="10"/>
            <rFont val="ＭＳ Ｐゴシック"/>
            <family val="3"/>
          </rPr>
          <t>Attenuator series resistor</t>
        </r>
      </text>
    </comment>
    <comment ref="B29" authorId="0">
      <text>
        <r>
          <rPr>
            <b/>
            <sz val="10"/>
            <rFont val="ＭＳ Ｐゴシック"/>
            <family val="3"/>
          </rPr>
          <t>Difference from adjusting sensitivity
in magnification</t>
        </r>
      </text>
    </comment>
    <comment ref="B30" authorId="0">
      <text>
        <r>
          <rPr>
            <b/>
            <sz val="10"/>
            <rFont val="ＭＳ Ｐゴシック"/>
            <family val="3"/>
          </rPr>
          <t>Difference from adjusting sensitivity
in dB</t>
        </r>
      </text>
    </comment>
    <comment ref="G16" authorId="0">
      <text>
        <r>
          <rPr>
            <b/>
            <sz val="10"/>
            <rFont val="ＭＳ Ｐゴシック"/>
            <family val="3"/>
          </rPr>
          <t>Select corrective circuit type 1-4.
1:Series  type 6dB/oct
2:Parallel type 6dB/oct
3:Series  type 12dB/oct
4:Parallel type 12dB/oct</t>
        </r>
      </text>
    </comment>
    <comment ref="B28" authorId="0">
      <text>
        <r>
          <rPr>
            <b/>
            <sz val="10"/>
            <rFont val="ＭＳ Ｐゴシック"/>
            <family val="3"/>
          </rPr>
          <t>After (correction) effective resistance</t>
        </r>
      </text>
    </comment>
    <comment ref="B25" authorId="0">
      <text>
        <r>
          <rPr>
            <b/>
            <sz val="10"/>
            <rFont val="ＭＳ Ｐゴシック"/>
            <family val="3"/>
          </rPr>
          <t>Attenuator of resistor use flag
1:Use   0 or empty:Not use</t>
        </r>
      </text>
    </comment>
  </commentList>
</comments>
</file>

<file path=xl/comments6.xml><?xml version="1.0" encoding="utf-8"?>
<comments xmlns="http://schemas.openxmlformats.org/spreadsheetml/2006/main">
  <authors>
    <author>伊東　哲夫</author>
  </authors>
  <commentList>
    <comment ref="B23" authorId="0">
      <text>
        <r>
          <rPr>
            <b/>
            <sz val="10"/>
            <rFont val="ＭＳ Ｐゴシック"/>
            <family val="3"/>
          </rPr>
          <t>Previous (correction) Effective Resistance
The virtual resistance that is calculated by active power and effective current is called the effective resistance.It becomes equal with alternating current resistance, (impedance = alternating current resistance + reactance) including direct current resistance, emission resistance, eddy current loss,and etc.If reactance(ingredient of LC) is zero, it becomes equal with the nominal impedance. It is 110% - 130% of the direct current resistance in the case of the speaker.</t>
        </r>
      </text>
    </comment>
    <comment ref="B24" authorId="0">
      <text>
        <r>
          <rPr>
            <b/>
            <sz val="10"/>
            <rFont val="ＭＳ Ｐゴシック"/>
            <family val="3"/>
          </rPr>
          <t>Previous (correction) sensitivity</t>
        </r>
      </text>
    </comment>
    <comment ref="B26" authorId="0">
      <text>
        <r>
          <rPr>
            <b/>
            <sz val="10"/>
            <rFont val="ＭＳ Ｐゴシック"/>
            <family val="3"/>
          </rPr>
          <t>Attenuator parallel resistor</t>
        </r>
      </text>
    </comment>
    <comment ref="B27" authorId="0">
      <text>
        <r>
          <rPr>
            <b/>
            <sz val="10"/>
            <rFont val="ＭＳ Ｐゴシック"/>
            <family val="3"/>
          </rPr>
          <t>Attenuator series resistor</t>
        </r>
      </text>
    </comment>
    <comment ref="B29" authorId="0">
      <text>
        <r>
          <rPr>
            <b/>
            <sz val="10"/>
            <rFont val="ＭＳ Ｐゴシック"/>
            <family val="3"/>
          </rPr>
          <t>Difference from adjusting sensitivity
in magnification</t>
        </r>
      </text>
    </comment>
    <comment ref="B30" authorId="0">
      <text>
        <r>
          <rPr>
            <b/>
            <sz val="10"/>
            <rFont val="ＭＳ Ｐゴシック"/>
            <family val="3"/>
          </rPr>
          <t>Difference from adjusting sensitivity
in dB</t>
        </r>
      </text>
    </comment>
    <comment ref="G16" authorId="0">
      <text>
        <r>
          <rPr>
            <b/>
            <sz val="10"/>
            <rFont val="ＭＳ Ｐゴシック"/>
            <family val="3"/>
          </rPr>
          <t>Select corrective circuit type 1-4.
1:Series  type 6dB/oct
2:Parallel type 6dB/oct
3:Series  type 12dB/oct
4:Parallel type 12dB/oct</t>
        </r>
      </text>
    </comment>
    <comment ref="B28" authorId="0">
      <text>
        <r>
          <rPr>
            <b/>
            <sz val="10"/>
            <rFont val="ＭＳ Ｐゴシック"/>
            <family val="3"/>
          </rPr>
          <t>After (correction) effective resistance</t>
        </r>
      </text>
    </comment>
    <comment ref="B25" authorId="0">
      <text>
        <r>
          <rPr>
            <b/>
            <sz val="10"/>
            <rFont val="ＭＳ Ｐゴシック"/>
            <family val="3"/>
          </rPr>
          <t>Attenuator of resistor use flag
1:Use   0 or empty:Not use</t>
        </r>
      </text>
    </comment>
  </commentList>
</comments>
</file>

<file path=xl/comments7.xml><?xml version="1.0" encoding="utf-8"?>
<comments xmlns="http://schemas.openxmlformats.org/spreadsheetml/2006/main">
  <authors>
    <author>伊東　哲夫</author>
  </authors>
  <commentList>
    <comment ref="B23" authorId="0">
      <text>
        <r>
          <rPr>
            <b/>
            <sz val="10"/>
            <rFont val="ＭＳ Ｐゴシック"/>
            <family val="3"/>
          </rPr>
          <t>Previous (correction) Effective Resistance
The virtual resistance that is calculated by active power and effective current is called the effective resistance.It becomes equal with alternating current resistance, (impedance = alternating current resistance + reactance) including direct current resistance, emission resistance, eddy current loss,and etc.If reactance(ingredient of LC) is zero, it becomes equal with the nominal impedance. It is 110% - 130% of the direct current resistance in the case of the speaker.</t>
        </r>
      </text>
    </comment>
    <comment ref="B24" authorId="0">
      <text>
        <r>
          <rPr>
            <b/>
            <sz val="10"/>
            <rFont val="ＭＳ Ｐゴシック"/>
            <family val="3"/>
          </rPr>
          <t>Previous (correction) sensitivity</t>
        </r>
      </text>
    </comment>
    <comment ref="B26" authorId="0">
      <text>
        <r>
          <rPr>
            <b/>
            <sz val="10"/>
            <rFont val="ＭＳ Ｐゴシック"/>
            <family val="3"/>
          </rPr>
          <t>Attenuator parallel resistor</t>
        </r>
      </text>
    </comment>
    <comment ref="B27" authorId="0">
      <text>
        <r>
          <rPr>
            <b/>
            <sz val="10"/>
            <rFont val="ＭＳ Ｐゴシック"/>
            <family val="3"/>
          </rPr>
          <t>Attenuator series resistor</t>
        </r>
      </text>
    </comment>
    <comment ref="B29" authorId="0">
      <text>
        <r>
          <rPr>
            <b/>
            <sz val="10"/>
            <rFont val="ＭＳ Ｐゴシック"/>
            <family val="3"/>
          </rPr>
          <t>Difference from adjusting sensitivity
in magnification</t>
        </r>
      </text>
    </comment>
    <comment ref="B30" authorId="0">
      <text>
        <r>
          <rPr>
            <b/>
            <sz val="10"/>
            <rFont val="ＭＳ Ｐゴシック"/>
            <family val="3"/>
          </rPr>
          <t>Difference from adjusting sensitivity
in dB</t>
        </r>
      </text>
    </comment>
    <comment ref="H16" authorId="0">
      <text>
        <r>
          <rPr>
            <b/>
            <sz val="10"/>
            <rFont val="ＭＳ Ｐゴシック"/>
            <family val="3"/>
          </rPr>
          <t>Select corrective circuit type 1-4.
1:Series  type 6dB/oct
2:Parallel type 6dB/oct
3:Series  type 12dB/oct
4:Parallel type 12dB/oct</t>
        </r>
      </text>
    </comment>
    <comment ref="B28" authorId="0">
      <text>
        <r>
          <rPr>
            <b/>
            <sz val="10"/>
            <rFont val="ＭＳ Ｐゴシック"/>
            <family val="3"/>
          </rPr>
          <t>After (correction) effective resistance</t>
        </r>
      </text>
    </comment>
    <comment ref="B25" authorId="0">
      <text>
        <r>
          <rPr>
            <b/>
            <sz val="10"/>
            <rFont val="ＭＳ Ｐゴシック"/>
            <family val="3"/>
          </rPr>
          <t>Attenuator of resistor use flag
1:Use   0 or empty:Not use</t>
        </r>
      </text>
    </comment>
  </commentList>
</comments>
</file>

<file path=xl/comments8.xml><?xml version="1.0" encoding="utf-8"?>
<comments xmlns="http://schemas.openxmlformats.org/spreadsheetml/2006/main">
  <authors>
    <author>伊東　哲夫</author>
  </authors>
  <commentList>
    <comment ref="B19" authorId="0">
      <text>
        <r>
          <rPr>
            <b/>
            <sz val="10"/>
            <rFont val="ＭＳ Ｐゴシック"/>
            <family val="3"/>
          </rPr>
          <t>After correction, speaker may be suitable to be connected reverse because phase changes greatly.  
Connection order   :0
Connection reverse:1</t>
        </r>
      </text>
    </comment>
    <comment ref="B28" authorId="0">
      <text>
        <r>
          <rPr>
            <b/>
            <sz val="10"/>
            <rFont val="ＭＳ Ｐゴシック"/>
            <family val="3"/>
          </rPr>
          <t xml:space="preserve">Using method regarding attenuator of resistor.
2:For input resistance Rip only.
1:For Sensitivity Sip &amp; input resistance Rip.
0 or empty:Do not use. </t>
        </r>
      </text>
    </comment>
    <comment ref="B26" authorId="0">
      <text>
        <r>
          <rPr>
            <b/>
            <sz val="10"/>
            <rFont val="ＭＳ Ｐゴシック"/>
            <family val="3"/>
          </rPr>
          <t>Previous (correction) Effective Resistance
The virtual resistance that is calculated by active power and effective current is called the effective resistance.It becomes equal with alternating current resistance, (impedance = alternating current resistance + reactance) including direct current resistance, emission resistance, eddy current loss,and etc.If reactance(ingredient of LC) is zero, it becomes equal with the nominal impedance. It is 110% - 130% of the direct current resistance in the case of the speaker.</t>
        </r>
      </text>
    </comment>
    <comment ref="B27" authorId="0">
      <text>
        <r>
          <rPr>
            <b/>
            <sz val="10"/>
            <rFont val="ＭＳ Ｐゴシック"/>
            <family val="3"/>
          </rPr>
          <t>Previous (correction) sensitivity</t>
        </r>
      </text>
    </comment>
    <comment ref="B29" authorId="0">
      <text>
        <r>
          <rPr>
            <b/>
            <sz val="10"/>
            <rFont val="ＭＳ Ｐゴシック"/>
            <family val="3"/>
          </rPr>
          <t>Attenuator parallel resistor</t>
        </r>
      </text>
    </comment>
    <comment ref="B30" authorId="0">
      <text>
        <r>
          <rPr>
            <b/>
            <sz val="10"/>
            <rFont val="ＭＳ Ｐゴシック"/>
            <family val="3"/>
          </rPr>
          <t>Attenuator series resistor</t>
        </r>
      </text>
    </comment>
    <comment ref="B31" authorId="0">
      <text>
        <r>
          <rPr>
            <b/>
            <sz val="10"/>
            <rFont val="ＭＳ Ｐゴシック"/>
            <family val="3"/>
          </rPr>
          <t>After (correction) effective resistance</t>
        </r>
      </text>
    </comment>
    <comment ref="B32" authorId="0">
      <text>
        <r>
          <rPr>
            <b/>
            <sz val="10"/>
            <rFont val="ＭＳ Ｐゴシック"/>
            <family val="3"/>
          </rPr>
          <t>Difference from adjusting sensitivity
in magnification</t>
        </r>
      </text>
    </comment>
    <comment ref="B33" authorId="0">
      <text>
        <r>
          <rPr>
            <b/>
            <sz val="10"/>
            <rFont val="ＭＳ Ｐゴシック"/>
            <family val="3"/>
          </rPr>
          <t>Difference from adjusting sensitivity
in dB</t>
        </r>
      </text>
    </comment>
  </commentList>
</comments>
</file>

<file path=xl/comments9.xml><?xml version="1.0" encoding="utf-8"?>
<comments xmlns="http://schemas.openxmlformats.org/spreadsheetml/2006/main">
  <authors>
    <author>伊東　哲夫</author>
  </authors>
  <commentList>
    <comment ref="B19" authorId="0">
      <text>
        <r>
          <rPr>
            <b/>
            <sz val="10"/>
            <rFont val="ＭＳ Ｐゴシック"/>
            <family val="3"/>
          </rPr>
          <t>After correction, speaker may be suitable to be connected reverse because phase changes greatly.  
Connection order   :0
Connection reverse:1</t>
        </r>
      </text>
    </comment>
    <comment ref="B26" authorId="0">
      <text>
        <r>
          <rPr>
            <b/>
            <sz val="10"/>
            <rFont val="ＭＳ Ｐゴシック"/>
            <family val="3"/>
          </rPr>
          <t>Previous (correction) Effective Resistance
The virtual resistance that is calculated by active power and effective current is called the effective resistance.It becomes equal with alternating current resistance, (impedance = alternating current resistance + reactance) including direct current resistance, emission resistance, eddy current loss,and etc.If reactance(ingredient of LC) is zero, it becomes equal with the nominal impedance. It is 110% - 130% of the direct current resistance in the case of the speaker.</t>
        </r>
      </text>
    </comment>
    <comment ref="B27" authorId="0">
      <text>
        <r>
          <rPr>
            <b/>
            <sz val="10"/>
            <rFont val="ＭＳ Ｐゴシック"/>
            <family val="3"/>
          </rPr>
          <t>Previous (correction) sensitivity</t>
        </r>
      </text>
    </comment>
    <comment ref="B28" authorId="0">
      <text>
        <r>
          <rPr>
            <b/>
            <sz val="10"/>
            <rFont val="ＭＳ Ｐゴシック"/>
            <family val="3"/>
          </rPr>
          <t xml:space="preserve">Using method regarding attenuator of resistor.
2:For input resistance Rip only.
1:For Sensitivity Sip &amp; input resistance Rip.
0 or empty:Do not use. </t>
        </r>
      </text>
    </comment>
    <comment ref="B29" authorId="0">
      <text>
        <r>
          <rPr>
            <b/>
            <sz val="10"/>
            <rFont val="ＭＳ Ｐゴシック"/>
            <family val="3"/>
          </rPr>
          <t>Attenuator parallel resistor</t>
        </r>
      </text>
    </comment>
    <comment ref="B30" authorId="0">
      <text>
        <r>
          <rPr>
            <b/>
            <sz val="10"/>
            <rFont val="ＭＳ Ｐゴシック"/>
            <family val="3"/>
          </rPr>
          <t>Attenuator series resistor</t>
        </r>
      </text>
    </comment>
    <comment ref="B31" authorId="0">
      <text>
        <r>
          <rPr>
            <b/>
            <sz val="10"/>
            <rFont val="ＭＳ Ｐゴシック"/>
            <family val="3"/>
          </rPr>
          <t>After (correction) effective resistance</t>
        </r>
      </text>
    </comment>
    <comment ref="B32" authorId="0">
      <text>
        <r>
          <rPr>
            <b/>
            <sz val="10"/>
            <rFont val="ＭＳ Ｐゴシック"/>
            <family val="3"/>
          </rPr>
          <t>Difference from adjusting sensitivity
in magnification</t>
        </r>
      </text>
    </comment>
    <comment ref="B33" authorId="0">
      <text>
        <r>
          <rPr>
            <b/>
            <sz val="10"/>
            <rFont val="ＭＳ Ｐゴシック"/>
            <family val="3"/>
          </rPr>
          <t>Difference from adjusting sensitivity
in dB</t>
        </r>
      </text>
    </comment>
  </commentList>
</comments>
</file>

<file path=xl/sharedStrings.xml><?xml version="1.0" encoding="utf-8"?>
<sst xmlns="http://schemas.openxmlformats.org/spreadsheetml/2006/main" count="5795" uniqueCount="234">
  <si>
    <t>Ω</t>
  </si>
  <si>
    <t>1k</t>
  </si>
  <si>
    <t>1.5k</t>
  </si>
  <si>
    <t>2k</t>
  </si>
  <si>
    <t>3k</t>
  </si>
  <si>
    <t>4k</t>
  </si>
  <si>
    <t>5k</t>
  </si>
  <si>
    <t>7k</t>
  </si>
  <si>
    <t>10k</t>
  </si>
  <si>
    <t>15k</t>
  </si>
  <si>
    <t>20k</t>
  </si>
  <si>
    <t>ｄＢ</t>
  </si>
  <si>
    <t>0 or 1</t>
  </si>
  <si>
    <t>Ω</t>
  </si>
  <si>
    <t>ｄＢ</t>
  </si>
  <si>
    <t>Ｈｚ</t>
  </si>
  <si>
    <t>ｄＢ</t>
  </si>
  <si>
    <t>Ｈｚ</t>
  </si>
  <si>
    <t>度</t>
  </si>
  <si>
    <t>Ｈｚ</t>
  </si>
  <si>
    <t>Ｈｚ</t>
  </si>
  <si>
    <t>1k</t>
  </si>
  <si>
    <t>1.5k</t>
  </si>
  <si>
    <t>2k</t>
  </si>
  <si>
    <t>3k</t>
  </si>
  <si>
    <t>4k</t>
  </si>
  <si>
    <t>5k</t>
  </si>
  <si>
    <t>7k</t>
  </si>
  <si>
    <t>10k</t>
  </si>
  <si>
    <t>15k</t>
  </si>
  <si>
    <t>20k</t>
  </si>
  <si>
    <t>1k</t>
  </si>
  <si>
    <t>1.5k</t>
  </si>
  <si>
    <t>2k</t>
  </si>
  <si>
    <t>3k</t>
  </si>
  <si>
    <t>4k</t>
  </si>
  <si>
    <t>5k</t>
  </si>
  <si>
    <t>7k</t>
  </si>
  <si>
    <t>10k</t>
  </si>
  <si>
    <t>15k</t>
  </si>
  <si>
    <t>20k</t>
  </si>
  <si>
    <t>Ｈｚ</t>
  </si>
  <si>
    <t>ｄＢ</t>
  </si>
  <si>
    <t>1k</t>
  </si>
  <si>
    <t>1.5k</t>
  </si>
  <si>
    <t>2k</t>
  </si>
  <si>
    <t>3k</t>
  </si>
  <si>
    <t>4k</t>
  </si>
  <si>
    <t>5k</t>
  </si>
  <si>
    <t>7k</t>
  </si>
  <si>
    <t>10k</t>
  </si>
  <si>
    <t>15k</t>
  </si>
  <si>
    <t>20k</t>
  </si>
  <si>
    <t>1k</t>
  </si>
  <si>
    <t>1.5k</t>
  </si>
  <si>
    <t>2k</t>
  </si>
  <si>
    <t>3k</t>
  </si>
  <si>
    <t>4k</t>
  </si>
  <si>
    <t>5k</t>
  </si>
  <si>
    <t>7k</t>
  </si>
  <si>
    <t>10k</t>
  </si>
  <si>
    <t>15k</t>
  </si>
  <si>
    <t>20k</t>
  </si>
  <si>
    <t>Ｈｚ</t>
  </si>
  <si>
    <t>1k</t>
  </si>
  <si>
    <t>1.5k</t>
  </si>
  <si>
    <t>2k</t>
  </si>
  <si>
    <t>3k</t>
  </si>
  <si>
    <t>4k</t>
  </si>
  <si>
    <t>5k</t>
  </si>
  <si>
    <t>7k</t>
  </si>
  <si>
    <t>10k</t>
  </si>
  <si>
    <t>15k</t>
  </si>
  <si>
    <t>20k</t>
  </si>
  <si>
    <t>1/Ω</t>
  </si>
  <si>
    <t>Ｚｉｎ</t>
  </si>
  <si>
    <t>Ｒｉ</t>
  </si>
  <si>
    <t>ｎｉ</t>
  </si>
  <si>
    <t>ｆｃL</t>
  </si>
  <si>
    <t>ｆｃU</t>
  </si>
  <si>
    <t>fc1</t>
  </si>
  <si>
    <t>fc1～2</t>
  </si>
  <si>
    <t>Ｈｚ</t>
  </si>
  <si>
    <t>Ω・ｄＢ</t>
  </si>
  <si>
    <t>Ω・ｄＢ</t>
  </si>
  <si>
    <t>Ｓｉｏ</t>
  </si>
  <si>
    <t>Ｓｉ</t>
  </si>
  <si>
    <t>Ｒｉｏ</t>
  </si>
  <si>
    <t>Ｌ１</t>
  </si>
  <si>
    <t>Ｃ１</t>
  </si>
  <si>
    <t>Ｌ２</t>
  </si>
  <si>
    <t>Ｃ２</t>
  </si>
  <si>
    <t>Crossover Frequncy</t>
  </si>
  <si>
    <t>Crossover Attenuation</t>
  </si>
  <si>
    <t>Parts of Network</t>
  </si>
  <si>
    <t>Item</t>
  </si>
  <si>
    <t>Impedance</t>
  </si>
  <si>
    <t>Speaker sensitivity</t>
  </si>
  <si>
    <t>Speaker Charactoritics</t>
  </si>
  <si>
    <t>Frequency</t>
  </si>
  <si>
    <t>Attenuation</t>
  </si>
  <si>
    <t>Coil</t>
  </si>
  <si>
    <t>Condensor</t>
  </si>
  <si>
    <t>Charactoristics</t>
  </si>
  <si>
    <t>Pre Sensitivity</t>
  </si>
  <si>
    <t>Atten use flag</t>
  </si>
  <si>
    <t>Atten Para Res</t>
  </si>
  <si>
    <t>Pre Effect Res</t>
  </si>
  <si>
    <t>Atten Ser Res</t>
  </si>
  <si>
    <t>Aft Effect Res</t>
  </si>
  <si>
    <t>Dif from adj sens</t>
  </si>
  <si>
    <t>Unit</t>
  </si>
  <si>
    <t>Magni</t>
  </si>
  <si>
    <t>0:nil or 1-4</t>
  </si>
  <si>
    <t>ZinX6/rated value(ohm)</t>
  </si>
  <si>
    <t>Output power(dB)</t>
  </si>
  <si>
    <t>Output Voltage</t>
  </si>
  <si>
    <t>Phase of output</t>
  </si>
  <si>
    <t>Reactance(XL1-4)</t>
  </si>
  <si>
    <t>Reactance(XC1-4)</t>
  </si>
  <si>
    <t>Conductance(g1-4)</t>
  </si>
  <si>
    <t>Susceptance(s1-4)</t>
  </si>
  <si>
    <t>Correction voltage</t>
  </si>
  <si>
    <t>Correction phase</t>
  </si>
  <si>
    <t>deg</t>
  </si>
  <si>
    <t>dB</t>
  </si>
  <si>
    <t>1/ohm</t>
  </si>
  <si>
    <t>ohm</t>
  </si>
  <si>
    <t>dB</t>
  </si>
  <si>
    <t>ohm/dB</t>
  </si>
  <si>
    <t>Hz</t>
  </si>
  <si>
    <t>mH</t>
  </si>
  <si>
    <t>microF</t>
  </si>
  <si>
    <t>dB</t>
  </si>
  <si>
    <t>ohm</t>
  </si>
  <si>
    <t>(Explanation of operation method)</t>
  </si>
  <si>
    <t>1.Calculation of parts used in network circuit</t>
  </si>
  <si>
    <t>2.Design of network charactoristics</t>
  </si>
  <si>
    <t>(1)Fill yellow cell with cross over frequency.</t>
  </si>
  <si>
    <t>(2)Fill yellow cell with rated value of Zin.</t>
  </si>
  <si>
    <t>(3)Fill previous (correction) effective resistance with nil.</t>
  </si>
  <si>
    <t>(1)Fill previous (correction) effective resistance with data.</t>
  </si>
  <si>
    <t>(2)Fill previous (correction) sensitivity with data.</t>
  </si>
  <si>
    <t>(3)Fill rated value of Zin with data.</t>
  </si>
  <si>
    <t>(4)Fill rated value of speaker sensitivity with data.</t>
  </si>
  <si>
    <t>(5)Fill attenuator use flag with data, 0 or 1.</t>
  </si>
  <si>
    <t>(7)Check and correct data</t>
  </si>
  <si>
    <t>(6)Fill speaker correction 1-4 add with nil.</t>
  </si>
  <si>
    <t>Low(i=w)</t>
  </si>
  <si>
    <t>For design</t>
  </si>
  <si>
    <t>For parts</t>
  </si>
  <si>
    <t>Mid(i=s)</t>
  </si>
  <si>
    <t>Total</t>
  </si>
  <si>
    <t>Ｒａ</t>
  </si>
  <si>
    <t>Ｒｂ</t>
  </si>
  <si>
    <t>High(i=t)</t>
  </si>
  <si>
    <r>
      <t>S</t>
    </r>
    <r>
      <rPr>
        <sz val="11"/>
        <rFont val="ＭＳ Ｐゴシック"/>
        <family val="3"/>
      </rPr>
      <t>electNumber:1-2</t>
    </r>
  </si>
  <si>
    <t>1:-6dB , 2:-3dB</t>
  </si>
  <si>
    <t>X0.1deg/Hz</t>
  </si>
  <si>
    <t>3way 6dB/oct Zin constant type Network Circuit Design Sheet</t>
  </si>
  <si>
    <t>3way 6dB/oct resonance type Network Circuit Design Sheet</t>
  </si>
  <si>
    <t>X0.1deg/Hz</t>
  </si>
  <si>
    <t>fc1-2</t>
  </si>
  <si>
    <t>3way 12dB/oct resonance type Network Circuit Design Sheet</t>
  </si>
  <si>
    <t>3way 12dB/oct Zin constant type Network Circuit Design Sheet</t>
  </si>
  <si>
    <t>3way 12&amp;6dB/oct Zin constant type Network Circuit Design Sheet</t>
  </si>
  <si>
    <t>3way 12dB/oct(Cross mode 2 kinds) Network Circuit Design Sheet</t>
  </si>
  <si>
    <t>Phase Dist(X0.1deg/Hz)</t>
  </si>
  <si>
    <t>L1-3</t>
  </si>
  <si>
    <t>C1-3</t>
  </si>
  <si>
    <t>L1-4</t>
  </si>
  <si>
    <t>C1-4</t>
  </si>
  <si>
    <t>L1-2</t>
  </si>
  <si>
    <t>C1-2</t>
  </si>
  <si>
    <t>Condensor C1-6</t>
  </si>
  <si>
    <t>Coil          L1-6</t>
  </si>
  <si>
    <t>Reactance(X1-5)</t>
  </si>
  <si>
    <t>Conductance(g1-5)</t>
  </si>
  <si>
    <t>Susceptance(s1-5)</t>
  </si>
  <si>
    <t>Ultra(i=u)</t>
  </si>
  <si>
    <r>
      <t>A</t>
    </r>
    <r>
      <rPr>
        <sz val="11"/>
        <rFont val="ＭＳ Ｐゴシック"/>
        <family val="3"/>
      </rPr>
      <t>bout -3</t>
    </r>
  </si>
  <si>
    <t>Input resistance</t>
  </si>
  <si>
    <t>Adjusting rate</t>
  </si>
  <si>
    <t>Sensitivity after correct</t>
  </si>
  <si>
    <t>Lower cross over</t>
  </si>
  <si>
    <t>Higher cross over</t>
  </si>
  <si>
    <t>-3dB frequency</t>
  </si>
  <si>
    <t>Connection　Order：０ Reverse:1</t>
  </si>
  <si>
    <t>Polarity after correction</t>
  </si>
  <si>
    <t>Rio</t>
  </si>
  <si>
    <t>Sio</t>
  </si>
  <si>
    <t>Lower cross over parts</t>
  </si>
  <si>
    <t>Higher cross over parts</t>
  </si>
  <si>
    <t>Rip</t>
  </si>
  <si>
    <t>Sip</t>
  </si>
  <si>
    <t>(1) Input effective resistance before correction.</t>
  </si>
  <si>
    <t>(2) Input sensitivity before correction.</t>
  </si>
  <si>
    <t>(3) Input an input resistance adjusting rate.</t>
  </si>
  <si>
    <t>(4) Input sensitivity after correction.</t>
  </si>
  <si>
    <t>1. Input basic data.</t>
  </si>
  <si>
    <t>Correct flag 2:Rip 1:Sens 0:Nil</t>
  </si>
  <si>
    <t>Ohm</t>
  </si>
  <si>
    <t>Reactance XL1</t>
  </si>
  <si>
    <t>Reactance XC1</t>
  </si>
  <si>
    <t>Reactance XL2</t>
  </si>
  <si>
    <t>Reactance XC2</t>
  </si>
  <si>
    <t>Speaker Corrective Circuit (6dB/oct) Series type Design Sheet</t>
  </si>
  <si>
    <t>Speaker Corrective Circuit (6dB/oct) Parallel type Design Sheet</t>
  </si>
  <si>
    <t>Speaker Corrective Circuit (12dB/oct) Series type Design Sheet</t>
  </si>
  <si>
    <t>Speaker Corrective Circuit (12dB/oct) Parallel type Design Sheet</t>
  </si>
  <si>
    <t>Variation of freq. response before correction(dB)</t>
  </si>
  <si>
    <t>Low(i=w)</t>
  </si>
  <si>
    <t>Mid(i=s)</t>
  </si>
  <si>
    <t>High(i=t)</t>
  </si>
  <si>
    <t>Total</t>
  </si>
  <si>
    <t>Output power</t>
  </si>
  <si>
    <t>Output volt</t>
  </si>
  <si>
    <t>Sp correction type 1-4</t>
  </si>
  <si>
    <t>3.Add the influence of SpeakerCorrection sheet</t>
  </si>
  <si>
    <t>Use Sp Correction sheet only existing Variation of freq. response.</t>
  </si>
  <si>
    <r>
      <t>Fill the below table with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V</t>
    </r>
    <r>
      <rPr>
        <sz val="11"/>
        <rFont val="ＭＳ Ｐゴシック"/>
        <family val="3"/>
      </rPr>
      <t>ariation</t>
    </r>
    <r>
      <rPr>
        <sz val="11"/>
        <rFont val="ＭＳ Ｐゴシック"/>
        <family val="3"/>
      </rPr>
      <t xml:space="preserve"> freq. response</t>
    </r>
    <r>
      <rPr>
        <sz val="11"/>
        <rFont val="ＭＳ Ｐゴシック"/>
        <family val="3"/>
      </rPr>
      <t xml:space="preserve"> of speakers if any.</t>
    </r>
  </si>
  <si>
    <t>(1)Select SpeakerCorrection type and insert the suitable data, 1-4.</t>
  </si>
  <si>
    <t>(2)Fill the suitable SpeakerCorrection sheet with necessary data.</t>
  </si>
  <si>
    <t>(3)Check freq. charactoristics in this sheet as a result of this.</t>
  </si>
  <si>
    <t>(4)Correct and adjust the data in both sheets if necessary.</t>
  </si>
  <si>
    <t>(5)Repeat operation (2)-(4) till completed.</t>
  </si>
  <si>
    <t>２．Input data for correction.</t>
  </si>
  <si>
    <t xml:space="preserve">(1) Input Correction flag with 0-2. </t>
  </si>
  <si>
    <t>(2) Input Cross over frequency.</t>
  </si>
  <si>
    <t>(3) Input Connection Polarity with 0-1.</t>
  </si>
  <si>
    <t>(4) Check the Network Circuit Design Sheet applied.</t>
  </si>
  <si>
    <t>(5) Make to agree with Rio in both sheets, but for boost</t>
  </si>
  <si>
    <t xml:space="preserve">     or attenuation, can correct by difference of Sio.</t>
  </si>
  <si>
    <t>(6)Repeat operation (1)-(5) till completed.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</si>
</sst>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_ "/>
    <numFmt numFmtId="179" formatCode="0.000_);[Red]\(0.000\)"/>
    <numFmt numFmtId="180" formatCode="0.0000_ "/>
    <numFmt numFmtId="181" formatCode="0_);[Red]\(0\)"/>
    <numFmt numFmtId="182" formatCode="0_ "/>
    <numFmt numFmtId="183" formatCode="0.000000_ "/>
    <numFmt numFmtId="184" formatCode="0.00000_ "/>
    <numFmt numFmtId="185" formatCode="0.00000000_ "/>
    <numFmt numFmtId="186" formatCode="0.000000_);[Red]\(0.000000\)"/>
    <numFmt numFmtId="187" formatCode="0.00000_);[Red]\(0.00000\)"/>
    <numFmt numFmtId="188" formatCode="0.00_);[Red]\(0.00\)"/>
    <numFmt numFmtId="189" formatCode="0.0000_);[Red]\(0.00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2"/>
      <name val="ＭＳ Ｐ明朝"/>
      <family val="1"/>
    </font>
    <font>
      <sz val="11"/>
      <color indexed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0.5"/>
      <color indexed="8"/>
      <name val="ＭＳ Ｐゴシック"/>
      <family val="3"/>
    </font>
    <font>
      <sz val="10"/>
      <color indexed="8"/>
      <name val="ＭＳ Ｐゴシック"/>
      <family val="3"/>
    </font>
    <font>
      <sz val="7.35"/>
      <color indexed="8"/>
      <name val="ＭＳ Ｐゴシック"/>
      <family val="3"/>
    </font>
    <font>
      <sz val="10.7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177" fontId="0" fillId="0" borderId="10" xfId="0" applyNumberFormat="1" applyBorder="1" applyAlignment="1" applyProtection="1">
      <alignment/>
      <protection hidden="1"/>
    </xf>
    <xf numFmtId="0" fontId="0" fillId="0" borderId="11" xfId="0" applyBorder="1" applyAlignment="1" applyProtection="1">
      <alignment horizontal="right"/>
      <protection hidden="1"/>
    </xf>
    <xf numFmtId="0" fontId="0" fillId="0" borderId="12" xfId="0" applyBorder="1" applyAlignment="1" applyProtection="1">
      <alignment/>
      <protection hidden="1"/>
    </xf>
    <xf numFmtId="179" fontId="0" fillId="0" borderId="10" xfId="0" applyNumberFormat="1" applyBorder="1" applyAlignment="1" applyProtection="1">
      <alignment/>
      <protection hidden="1"/>
    </xf>
    <xf numFmtId="180" fontId="0" fillId="0" borderId="10" xfId="0" applyNumberFormat="1" applyBorder="1" applyAlignment="1" applyProtection="1">
      <alignment/>
      <protection hidden="1"/>
    </xf>
    <xf numFmtId="176" fontId="2" fillId="33" borderId="10" xfId="0" applyNumberFormat="1" applyFont="1" applyFill="1" applyBorder="1" applyAlignment="1" applyProtection="1">
      <alignment/>
      <protection locked="0"/>
    </xf>
    <xf numFmtId="182" fontId="2" fillId="33" borderId="10" xfId="0" applyNumberFormat="1" applyFont="1" applyFill="1" applyBorder="1" applyAlignment="1" applyProtection="1">
      <alignment/>
      <protection locked="0"/>
    </xf>
    <xf numFmtId="179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0" fontId="0" fillId="0" borderId="10" xfId="0" applyBorder="1" applyAlignment="1" applyProtection="1">
      <alignment shrinkToFit="1"/>
      <protection hidden="1"/>
    </xf>
    <xf numFmtId="0" fontId="0" fillId="0" borderId="10" xfId="0" applyBorder="1" applyAlignment="1" applyProtection="1">
      <alignment/>
      <protection hidden="1"/>
    </xf>
    <xf numFmtId="176" fontId="0" fillId="0" borderId="10" xfId="0" applyNumberFormat="1" applyBorder="1" applyAlignment="1" applyProtection="1">
      <alignment/>
      <protection hidden="1"/>
    </xf>
    <xf numFmtId="0" fontId="2" fillId="34" borderId="10" xfId="0" applyFont="1" applyFill="1" applyBorder="1" applyAlignment="1" applyProtection="1">
      <alignment/>
      <protection hidden="1" locked="0"/>
    </xf>
    <xf numFmtId="0" fontId="0" fillId="0" borderId="10" xfId="0" applyFill="1" applyBorder="1" applyAlignment="1" applyProtection="1">
      <alignment shrinkToFit="1"/>
      <protection hidden="1"/>
    </xf>
    <xf numFmtId="0" fontId="0" fillId="0" borderId="10" xfId="0" applyFill="1" applyBorder="1" applyAlignment="1" applyProtection="1">
      <alignment/>
      <protection hidden="1"/>
    </xf>
    <xf numFmtId="0" fontId="2" fillId="34" borderId="10" xfId="0" applyFont="1" applyFill="1" applyBorder="1" applyAlignment="1" applyProtection="1">
      <alignment/>
      <protection locked="0"/>
    </xf>
    <xf numFmtId="176" fontId="2" fillId="34" borderId="10" xfId="0" applyNumberFormat="1" applyFont="1" applyFill="1" applyBorder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/>
      <protection hidden="1"/>
    </xf>
    <xf numFmtId="183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176" fontId="0" fillId="0" borderId="10" xfId="0" applyNumberFormat="1" applyFont="1" applyFill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1" xfId="0" applyBorder="1" applyAlignment="1" applyProtection="1">
      <alignment horizontal="center" vertical="center" shrinkToFit="1"/>
      <protection hidden="1"/>
    </xf>
    <xf numFmtId="0" fontId="0" fillId="34" borderId="10" xfId="0" applyFill="1" applyBorder="1" applyAlignment="1" applyProtection="1">
      <alignment horizontal="center" vertical="center" shrinkToFit="1"/>
      <protection hidden="1"/>
    </xf>
    <xf numFmtId="0" fontId="0" fillId="33" borderId="10" xfId="0" applyFill="1" applyBorder="1" applyAlignment="1" applyProtection="1">
      <alignment horizontal="center" vertical="center" shrinkToFit="1"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shrinkToFit="1"/>
      <protection hidden="1"/>
    </xf>
    <xf numFmtId="178" fontId="2" fillId="0" borderId="10" xfId="0" applyNumberFormat="1" applyFont="1" applyFill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shrinkToFit="1"/>
      <protection hidden="1"/>
    </xf>
    <xf numFmtId="186" fontId="0" fillId="0" borderId="10" xfId="0" applyNumberFormat="1" applyBorder="1" applyAlignment="1" applyProtection="1">
      <alignment/>
      <protection hidden="1"/>
    </xf>
    <xf numFmtId="177" fontId="0" fillId="0" borderId="10" xfId="0" applyNumberFormat="1" applyFill="1" applyBorder="1" applyAlignment="1" applyProtection="1">
      <alignment horizontal="center" shrinkToFit="1"/>
      <protection hidden="1"/>
    </xf>
    <xf numFmtId="0" fontId="2" fillId="33" borderId="10" xfId="0" applyFont="1" applyFill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/>
      <protection hidden="1"/>
    </xf>
    <xf numFmtId="188" fontId="2" fillId="33" borderId="10" xfId="0" applyNumberFormat="1" applyFont="1" applyFill="1" applyBorder="1" applyAlignment="1" applyProtection="1">
      <alignment/>
      <protection locked="0"/>
    </xf>
    <xf numFmtId="188" fontId="2" fillId="34" borderId="10" xfId="0" applyNumberFormat="1" applyFont="1" applyFill="1" applyBorder="1" applyAlignment="1" applyProtection="1">
      <alignment/>
      <protection locked="0"/>
    </xf>
    <xf numFmtId="177" fontId="0" fillId="0" borderId="10" xfId="0" applyNumberFormat="1" applyBorder="1" applyAlignment="1" applyProtection="1">
      <alignment horizontal="right"/>
      <protection hidden="1"/>
    </xf>
    <xf numFmtId="176" fontId="0" fillId="0" borderId="10" xfId="0" applyNumberFormat="1" applyBorder="1" applyAlignment="1" applyProtection="1">
      <alignment horizontal="right"/>
      <protection hidden="1"/>
    </xf>
    <xf numFmtId="187" fontId="0" fillId="0" borderId="10" xfId="0" applyNumberFormat="1" applyBorder="1" applyAlignment="1">
      <alignment horizontal="right"/>
    </xf>
    <xf numFmtId="187" fontId="0" fillId="0" borderId="10" xfId="0" applyNumberFormat="1" applyBorder="1" applyAlignment="1" applyProtection="1">
      <alignment horizontal="right"/>
      <protection hidden="1"/>
    </xf>
    <xf numFmtId="188" fontId="0" fillId="0" borderId="10" xfId="0" applyNumberFormat="1" applyBorder="1" applyAlignment="1" applyProtection="1">
      <alignment horizontal="right"/>
      <protection hidden="1"/>
    </xf>
    <xf numFmtId="189" fontId="0" fillId="0" borderId="10" xfId="0" applyNumberFormat="1" applyBorder="1" applyAlignment="1" applyProtection="1">
      <alignment/>
      <protection hidden="1"/>
    </xf>
    <xf numFmtId="0" fontId="0" fillId="0" borderId="0" xfId="0" applyNumberFormat="1" applyAlignment="1">
      <alignment/>
    </xf>
    <xf numFmtId="0" fontId="0" fillId="0" borderId="10" xfId="0" applyFont="1" applyFill="1" applyBorder="1" applyAlignment="1" applyProtection="1">
      <alignment horizontal="center" shrinkToFit="1"/>
      <protection hidden="1"/>
    </xf>
    <xf numFmtId="176" fontId="0" fillId="0" borderId="10" xfId="0" applyNumberFormat="1" applyFont="1" applyFill="1" applyBorder="1" applyAlignment="1" applyProtection="1" quotePrefix="1">
      <alignment horizontal="center" shrinkToFit="1"/>
      <protection hidden="1"/>
    </xf>
    <xf numFmtId="176" fontId="0" fillId="0" borderId="10" xfId="0" applyNumberFormat="1" applyFont="1" applyFill="1" applyBorder="1" applyAlignment="1" applyProtection="1">
      <alignment horizontal="center"/>
      <protection hidden="1"/>
    </xf>
    <xf numFmtId="177" fontId="0" fillId="0" borderId="10" xfId="0" applyNumberFormat="1" applyBorder="1" applyAlignment="1" applyProtection="1">
      <alignment horizontal="center" shrinkToFit="1"/>
      <protection hidden="1"/>
    </xf>
    <xf numFmtId="179" fontId="0" fillId="0" borderId="0" xfId="0" applyNumberFormat="1" applyAlignment="1">
      <alignment/>
    </xf>
    <xf numFmtId="176" fontId="0" fillId="0" borderId="0" xfId="0" applyNumberFormat="1" applyAlignment="1">
      <alignment/>
    </xf>
    <xf numFmtId="188" fontId="0" fillId="0" borderId="10" xfId="0" applyNumberFormat="1" applyBorder="1" applyAlignment="1" applyProtection="1">
      <alignment/>
      <protection hidden="1"/>
    </xf>
    <xf numFmtId="188" fontId="0" fillId="0" borderId="10" xfId="0" applyNumberFormat="1" applyBorder="1" applyAlignment="1">
      <alignment/>
    </xf>
    <xf numFmtId="178" fontId="6" fillId="0" borderId="10" xfId="0" applyNumberFormat="1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 quotePrefix="1">
      <alignment shrinkToFit="1"/>
      <protection hidden="1"/>
    </xf>
    <xf numFmtId="0" fontId="9" fillId="0" borderId="0" xfId="0" applyFont="1" applyAlignment="1">
      <alignment/>
    </xf>
    <xf numFmtId="0" fontId="8" fillId="0" borderId="0" xfId="0" applyFont="1" applyAlignment="1" applyProtection="1">
      <alignment/>
      <protection hidden="1"/>
    </xf>
    <xf numFmtId="0" fontId="10" fillId="0" borderId="1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 shrinkToFit="1"/>
      <protection hidden="1"/>
    </xf>
    <xf numFmtId="0" fontId="0" fillId="0" borderId="12" xfId="0" applyBorder="1" applyAlignment="1" applyProtection="1">
      <alignment/>
      <protection hidden="1"/>
    </xf>
    <xf numFmtId="184" fontId="0" fillId="0" borderId="10" xfId="0" applyNumberFormat="1" applyBorder="1" applyAlignment="1" applyProtection="1">
      <alignment/>
      <protection hidden="1"/>
    </xf>
    <xf numFmtId="176" fontId="0" fillId="0" borderId="10" xfId="60" applyNumberFormat="1" applyFill="1" applyBorder="1" applyProtection="1">
      <alignment/>
      <protection hidden="1"/>
    </xf>
    <xf numFmtId="176" fontId="2" fillId="0" borderId="10" xfId="60" applyNumberFormat="1" applyFont="1" applyFill="1" applyBorder="1" applyProtection="1">
      <alignment/>
      <protection locked="0"/>
    </xf>
    <xf numFmtId="0" fontId="0" fillId="0" borderId="11" xfId="60" applyBorder="1" applyAlignment="1" applyProtection="1">
      <alignment horizontal="center" vertical="center"/>
      <protection hidden="1"/>
    </xf>
    <xf numFmtId="0" fontId="0" fillId="0" borderId="22" xfId="60" applyBorder="1" applyAlignment="1" applyProtection="1">
      <alignment horizontal="center" vertical="center"/>
      <protection hidden="1"/>
    </xf>
    <xf numFmtId="0" fontId="0" fillId="0" borderId="12" xfId="60" applyBorder="1" applyAlignment="1" applyProtection="1">
      <alignment horizontal="center" vertical="center"/>
      <protection hidden="1"/>
    </xf>
    <xf numFmtId="0" fontId="0" fillId="0" borderId="21" xfId="60" applyBorder="1" applyAlignment="1" applyProtection="1">
      <alignment/>
      <protection hidden="1"/>
    </xf>
    <xf numFmtId="0" fontId="0" fillId="0" borderId="23" xfId="0" applyBorder="1" applyAlignment="1">
      <alignment/>
    </xf>
    <xf numFmtId="0" fontId="0" fillId="0" borderId="21" xfId="60" applyBorder="1" applyAlignment="1" applyProtection="1">
      <alignment horizontal="center" vertical="center" shrinkToFit="1"/>
      <protection hidden="1"/>
    </xf>
    <xf numFmtId="0" fontId="0" fillId="0" borderId="24" xfId="60" applyBorder="1" applyAlignment="1" applyProtection="1">
      <alignment horizontal="center" vertical="center" shrinkToFit="1"/>
      <protection hidden="1"/>
    </xf>
    <xf numFmtId="0" fontId="0" fillId="0" borderId="23" xfId="60" applyBorder="1" applyAlignment="1" applyProtection="1">
      <alignment horizontal="center" vertical="center" shrinkToFit="1"/>
      <protection hidden="1"/>
    </xf>
    <xf numFmtId="0" fontId="0" fillId="0" borderId="21" xfId="0" applyBorder="1" applyAlignment="1" applyProtection="1">
      <alignment horizontal="center" vertical="center" shrinkToFit="1"/>
      <protection hidden="1"/>
    </xf>
    <xf numFmtId="0" fontId="0" fillId="0" borderId="24" xfId="0" applyBorder="1" applyAlignment="1" applyProtection="1">
      <alignment horizontal="center" vertical="center" shrinkToFit="1"/>
      <protection hidden="1"/>
    </xf>
    <xf numFmtId="0" fontId="0" fillId="0" borderId="23" xfId="0" applyBorder="1" applyAlignment="1" applyProtection="1">
      <alignment horizontal="center" vertical="center" shrinkToFit="1"/>
      <protection hidden="1"/>
    </xf>
    <xf numFmtId="177" fontId="0" fillId="0" borderId="11" xfId="0" applyNumberFormat="1" applyFill="1" applyBorder="1" applyAlignment="1" applyProtection="1">
      <alignment horizontal="center" vertical="center" shrinkToFit="1"/>
      <protection hidden="1"/>
    </xf>
    <xf numFmtId="0" fontId="0" fillId="0" borderId="1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5" fillId="0" borderId="11" xfId="0" applyFont="1" applyBorder="1" applyAlignment="1" applyProtection="1">
      <alignment horizontal="center" vertical="center" shrinkToFit="1"/>
      <protection hidden="1"/>
    </xf>
    <xf numFmtId="0" fontId="0" fillId="0" borderId="22" xfId="0" applyBorder="1" applyAlignment="1" applyProtection="1">
      <alignment horizontal="center" vertical="center" shrinkToFit="1"/>
      <protection hidden="1"/>
    </xf>
    <xf numFmtId="0" fontId="0" fillId="0" borderId="12" xfId="0" applyBorder="1" applyAlignment="1" applyProtection="1">
      <alignment horizontal="center" vertical="center" shrinkToFit="1"/>
      <protection hidden="1"/>
    </xf>
    <xf numFmtId="0" fontId="0" fillId="0" borderId="11" xfId="0" applyBorder="1" applyAlignment="1" applyProtection="1">
      <alignment horizontal="center" vertical="center" shrinkToFit="1"/>
      <protection hidden="1"/>
    </xf>
    <xf numFmtId="0" fontId="0" fillId="0" borderId="12" xfId="0" applyBorder="1" applyAlignment="1" applyProtection="1">
      <alignment vertical="center" shrinkToFit="1"/>
      <protection hidden="1"/>
    </xf>
    <xf numFmtId="0" fontId="0" fillId="0" borderId="21" xfId="0" applyBorder="1" applyAlignment="1" applyProtection="1">
      <alignment vertical="center" shrinkToFit="1"/>
      <protection hidden="1"/>
    </xf>
    <xf numFmtId="0" fontId="0" fillId="0" borderId="23" xfId="0" applyBorder="1" applyAlignment="1" applyProtection="1">
      <alignment vertical="center" shrinkToFit="1"/>
      <protection hidden="1"/>
    </xf>
    <xf numFmtId="0" fontId="0" fillId="0" borderId="21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4" fillId="0" borderId="22" xfId="0" applyFont="1" applyBorder="1" applyAlignment="1" applyProtection="1">
      <alignment horizontal="center" vertical="center" shrinkToFit="1"/>
      <protection hidden="1"/>
    </xf>
    <xf numFmtId="0" fontId="4" fillId="0" borderId="12" xfId="0" applyFont="1" applyBorder="1" applyAlignment="1" applyProtection="1">
      <alignment horizontal="center" vertical="center" shrinkToFit="1"/>
      <protection hidden="1"/>
    </xf>
    <xf numFmtId="0" fontId="0" fillId="0" borderId="11" xfId="0" applyBorder="1" applyAlignment="1" applyProtection="1">
      <alignment horizontal="center" shrinkToFit="1"/>
      <protection hidden="1"/>
    </xf>
    <xf numFmtId="0" fontId="0" fillId="0" borderId="12" xfId="0" applyBorder="1" applyAlignment="1">
      <alignment shrinkToFit="1"/>
    </xf>
    <xf numFmtId="0" fontId="0" fillId="0" borderId="10" xfId="0" applyBorder="1" applyAlignment="1" applyProtection="1">
      <alignment horizontal="center" vertical="center" shrinkToFit="1"/>
      <protection hidden="1"/>
    </xf>
    <xf numFmtId="0" fontId="5" fillId="0" borderId="13" xfId="0" applyFont="1" applyBorder="1" applyAlignment="1" applyProtection="1">
      <alignment horizontal="center" vertical="center" shrinkToFit="1"/>
      <protection hidden="1"/>
    </xf>
    <xf numFmtId="0" fontId="0" fillId="0" borderId="14" xfId="0" applyBorder="1" applyAlignment="1" applyProtection="1">
      <alignment horizontal="center" vertical="center" shrinkToFit="1"/>
      <protection hidden="1"/>
    </xf>
    <xf numFmtId="0" fontId="0" fillId="0" borderId="15" xfId="0" applyBorder="1" applyAlignment="1" applyProtection="1">
      <alignment horizontal="center" vertical="center" shrinkToFit="1"/>
      <protection hidden="1"/>
    </xf>
    <xf numFmtId="0" fontId="0" fillId="0" borderId="11" xfId="0" applyBorder="1" applyAlignment="1" applyProtection="1">
      <alignment shrinkToFit="1"/>
      <protection hidden="1"/>
    </xf>
    <xf numFmtId="0" fontId="0" fillId="0" borderId="22" xfId="0" applyBorder="1" applyAlignment="1">
      <alignment shrinkToFit="1"/>
    </xf>
    <xf numFmtId="0" fontId="0" fillId="0" borderId="0" xfId="0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8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Zin/Output voltage,power/Phase Distortion (Group delay)</a:t>
            </a:r>
          </a:p>
        </c:rich>
      </c:tx>
      <c:layout>
        <c:manualLayout>
          <c:xMode val="factor"/>
          <c:yMode val="factor"/>
          <c:x val="0.05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06675"/>
          <c:w val="0.9075"/>
          <c:h val="0.7745"/>
        </c:manualLayout>
      </c:layout>
      <c:lineChart>
        <c:grouping val="standard"/>
        <c:varyColors val="0"/>
        <c:ser>
          <c:idx val="0"/>
          <c:order val="0"/>
          <c:tx>
            <c:v>Low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6dB3wayType1!$B$53:$B$74</c:f>
              <c:strCache/>
            </c:strRef>
          </c:cat>
          <c:val>
            <c:numRef>
              <c:f>6dB3wayType1!$E$53:$E$74</c:f>
              <c:numCache/>
            </c:numRef>
          </c:val>
          <c:smooth val="0"/>
        </c:ser>
        <c:ser>
          <c:idx val="1"/>
          <c:order val="1"/>
          <c:tx>
            <c:v>Mid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6dB3wayType1!$B$53:$B$74</c:f>
              <c:strCache/>
            </c:strRef>
          </c:cat>
          <c:val>
            <c:numRef>
              <c:f>6dB3wayType1!$F$53:$F$74</c:f>
              <c:numCache/>
            </c:numRef>
          </c:val>
          <c:smooth val="0"/>
        </c:ser>
        <c:ser>
          <c:idx val="2"/>
          <c:order val="2"/>
          <c:tx>
            <c:v>Hight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6dB3wayType1!$B$53:$B$74</c:f>
              <c:strCache/>
            </c:strRef>
          </c:cat>
          <c:val>
            <c:numRef>
              <c:f>6dB3wayType1!$G$53:$G$74</c:f>
              <c:numCache/>
            </c:numRef>
          </c:val>
          <c:smooth val="0"/>
        </c:ser>
        <c:ser>
          <c:idx val="3"/>
          <c:order val="3"/>
          <c:tx>
            <c:v>Volt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6dB3wayType1!$H$53:$H$74</c:f>
              <c:numCache/>
            </c:numRef>
          </c:val>
          <c:smooth val="0"/>
        </c:ser>
        <c:ser>
          <c:idx val="4"/>
          <c:order val="4"/>
          <c:tx>
            <c:v>Ｚｉｎ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6dB3wayType1!$E$31:$E$52</c:f>
              <c:numCache/>
            </c:numRef>
          </c:val>
          <c:smooth val="0"/>
        </c:ser>
        <c:ser>
          <c:idx val="5"/>
          <c:order val="5"/>
          <c:tx>
            <c:v>Power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6dB3wayType1!$H$31:$H$52</c:f>
              <c:numCache/>
            </c:numRef>
          </c:val>
          <c:smooth val="0"/>
        </c:ser>
        <c:ser>
          <c:idx val="6"/>
          <c:order val="6"/>
          <c:tx>
            <c:v>PD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6dB3wayType1!$G$32:$G$52</c:f>
              <c:numCache/>
            </c:numRef>
          </c:val>
          <c:smooth val="0"/>
        </c:ser>
        <c:marker val="1"/>
        <c:axId val="10973922"/>
        <c:axId val="31656435"/>
      </c:lineChart>
      <c:catAx>
        <c:axId val="10973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Frequency(Hz)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56435"/>
        <c:crosses val="autoZero"/>
        <c:auto val="1"/>
        <c:lblOffset val="100"/>
        <c:tickLblSkip val="2"/>
        <c:noMultiLvlLbl val="0"/>
      </c:catAx>
      <c:valAx>
        <c:axId val="31656435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ZinX6/Total rated (ohm)
Voltage , Power (dB)
Phase Dist(X0.1deg/Hz)</a:t>
                </a:r>
              </a:p>
            </c:rich>
          </c:tx>
          <c:layout>
            <c:manualLayout>
              <c:xMode val="factor"/>
              <c:yMode val="factor"/>
              <c:x val="0.01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73922"/>
        <c:crossesAt val="1"/>
        <c:crossBetween val="between"/>
        <c:dispUnits/>
        <c:majorUnit val="2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175"/>
          <c:y val="0.9185"/>
          <c:w val="0.76525"/>
          <c:h val="0.070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Output Voltage to speakers ( Adjusting rate = 0 dB )</a:t>
            </a:r>
          </a:p>
        </c:rich>
      </c:tx>
      <c:layout>
        <c:manualLayout>
          <c:xMode val="factor"/>
          <c:yMode val="factor"/>
          <c:x val="0.048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78"/>
          <c:w val="0.8855"/>
          <c:h val="0.765"/>
        </c:manualLayout>
      </c:layout>
      <c:lineChart>
        <c:grouping val="standard"/>
        <c:varyColors val="0"/>
        <c:ser>
          <c:idx val="0"/>
          <c:order val="0"/>
          <c:tx>
            <c:v>Low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SpeakerCorrection3!$B$56:$B$77</c:f>
              <c:strCache/>
            </c:strRef>
          </c:cat>
          <c:val>
            <c:numRef>
              <c:f>SpeakerCorrection3!$E$56:$E$77</c:f>
              <c:numCache/>
            </c:numRef>
          </c:val>
          <c:smooth val="0"/>
        </c:ser>
        <c:ser>
          <c:idx val="1"/>
          <c:order val="1"/>
          <c:tx>
            <c:v>Mid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SpeakerCorrection3!$F$56:$F$77</c:f>
              <c:numCache/>
            </c:numRef>
          </c:val>
          <c:smooth val="0"/>
        </c:ser>
        <c:ser>
          <c:idx val="2"/>
          <c:order val="2"/>
          <c:tx>
            <c:v>High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SpeakerCorrection3!$G$56:$G$77</c:f>
              <c:numCache/>
            </c:numRef>
          </c:val>
          <c:smooth val="0"/>
        </c:ser>
        <c:ser>
          <c:idx val="3"/>
          <c:order val="3"/>
          <c:tx>
            <c:v>Ultra</c:v>
          </c:tx>
          <c:spPr>
            <a:ln w="254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SpeakerCorrection3!$H$56:$H$77</c:f>
              <c:numCache/>
            </c:numRef>
          </c:val>
          <c:smooth val="0"/>
        </c:ser>
        <c:marker val="1"/>
        <c:axId val="17026908"/>
        <c:axId val="19024445"/>
      </c:lineChart>
      <c:catAx>
        <c:axId val="17026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Frequency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（Ｈｚ）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25400">
            <a:solidFill>
              <a:srgbClr val="000000"/>
            </a:solidFill>
          </a:ln>
        </c:spPr>
        <c:crossAx val="19024445"/>
        <c:crosses val="autoZero"/>
        <c:auto val="1"/>
        <c:lblOffset val="100"/>
        <c:tickLblSkip val="2"/>
        <c:noMultiLvlLbl val="0"/>
      </c:catAx>
      <c:valAx>
        <c:axId val="19024445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Output Voltage (dB)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026908"/>
        <c:crossesAt val="1"/>
        <c:crossBetween val="between"/>
        <c:dispUnits/>
        <c:majorUnit val="5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2"/>
          <c:y val="0.9185"/>
          <c:w val="0.629"/>
          <c:h val="0.070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Output Voltage to speakers ( Adjusting rate = 0 dB )</a:t>
            </a:r>
          </a:p>
        </c:rich>
      </c:tx>
      <c:layout>
        <c:manualLayout>
          <c:xMode val="factor"/>
          <c:yMode val="factor"/>
          <c:x val="0.0642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9275"/>
          <c:w val="0.89675"/>
          <c:h val="0.75025"/>
        </c:manualLayout>
      </c:layout>
      <c:lineChart>
        <c:grouping val="standard"/>
        <c:varyColors val="0"/>
        <c:ser>
          <c:idx val="0"/>
          <c:order val="0"/>
          <c:tx>
            <c:v>Low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SpeakerCorrection4!$B$56:$B$77</c:f>
              <c:strCache/>
            </c:strRef>
          </c:cat>
          <c:val>
            <c:numRef>
              <c:f>SpeakerCorrection4!$E$56:$E$77</c:f>
              <c:numCache/>
            </c:numRef>
          </c:val>
          <c:smooth val="0"/>
        </c:ser>
        <c:ser>
          <c:idx val="1"/>
          <c:order val="1"/>
          <c:tx>
            <c:v>Mid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SpeakerCorrection4!$F$56:$F$77</c:f>
              <c:numCache/>
            </c:numRef>
          </c:val>
          <c:smooth val="0"/>
        </c:ser>
        <c:ser>
          <c:idx val="2"/>
          <c:order val="2"/>
          <c:tx>
            <c:v>High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SpeakerCorrection4!$G$56:$G$77</c:f>
              <c:numCache/>
            </c:numRef>
          </c:val>
          <c:smooth val="1"/>
        </c:ser>
        <c:ser>
          <c:idx val="3"/>
          <c:order val="3"/>
          <c:tx>
            <c:v>Ultra</c:v>
          </c:tx>
          <c:spPr>
            <a:ln w="254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SpeakerCorrection4!$H$56:$H$77</c:f>
              <c:numCache/>
            </c:numRef>
          </c:val>
          <c:smooth val="0"/>
        </c:ser>
        <c:marker val="1"/>
        <c:axId val="37002278"/>
        <c:axId val="64585047"/>
      </c:lineChart>
      <c:catAx>
        <c:axId val="37002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Frequency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（Ｈｚ）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crossAx val="64585047"/>
        <c:crosses val="autoZero"/>
        <c:auto val="1"/>
        <c:lblOffset val="100"/>
        <c:tickLblSkip val="2"/>
        <c:noMultiLvlLbl val="0"/>
      </c:catAx>
      <c:valAx>
        <c:axId val="64585047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Output Voltage (dB)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002278"/>
        <c:crossesAt val="1"/>
        <c:crossBetween val="between"/>
        <c:dispUnits/>
        <c:majorUnit val="5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1875"/>
          <c:w val="0.6275"/>
          <c:h val="0.07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Zin/Output voltage,power/Phase Distortion (Group delay)</a:t>
            </a:r>
          </a:p>
        </c:rich>
      </c:tx>
      <c:layout>
        <c:manualLayout>
          <c:xMode val="factor"/>
          <c:yMode val="factor"/>
          <c:x val="0.04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5"/>
          <c:y val="0.07375"/>
          <c:w val="0.881"/>
          <c:h val="0.745"/>
        </c:manualLayout>
      </c:layout>
      <c:lineChart>
        <c:grouping val="standard"/>
        <c:varyColors val="0"/>
        <c:ser>
          <c:idx val="0"/>
          <c:order val="0"/>
          <c:tx>
            <c:v>Low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6dB3wayType2!$B$53:$B$74</c:f>
              <c:strCache/>
            </c:strRef>
          </c:cat>
          <c:val>
            <c:numRef>
              <c:f>6dB3wayType2!$E$53:$E$74</c:f>
              <c:numCache/>
            </c:numRef>
          </c:val>
          <c:smooth val="0"/>
        </c:ser>
        <c:ser>
          <c:idx val="1"/>
          <c:order val="1"/>
          <c:tx>
            <c:v>Mid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6dB3wayType2!$B$53:$B$74</c:f>
              <c:strCache/>
            </c:strRef>
          </c:cat>
          <c:val>
            <c:numRef>
              <c:f>6dB3wayType2!$F$53:$F$74</c:f>
              <c:numCache/>
            </c:numRef>
          </c:val>
          <c:smooth val="0"/>
        </c:ser>
        <c:ser>
          <c:idx val="2"/>
          <c:order val="2"/>
          <c:tx>
            <c:v>High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6dB3wayType2!$B$53:$B$74</c:f>
              <c:strCache/>
            </c:strRef>
          </c:cat>
          <c:val>
            <c:numRef>
              <c:f>6dB3wayType2!$G$53:$G$74</c:f>
              <c:numCache/>
            </c:numRef>
          </c:val>
          <c:smooth val="0"/>
        </c:ser>
        <c:ser>
          <c:idx val="3"/>
          <c:order val="3"/>
          <c:tx>
            <c:v>Volt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6dB3wayType2!$H$53:$H$74</c:f>
              <c:numCache/>
            </c:numRef>
          </c:val>
          <c:smooth val="0"/>
        </c:ser>
        <c:ser>
          <c:idx val="4"/>
          <c:order val="4"/>
          <c:tx>
            <c:v>Ｚｉｎ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6dB3wayType2!$E$31:$E$52</c:f>
              <c:numCache/>
            </c:numRef>
          </c:val>
          <c:smooth val="0"/>
        </c:ser>
        <c:ser>
          <c:idx val="5"/>
          <c:order val="5"/>
          <c:tx>
            <c:v>Power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6dB3wayType2!$H$31:$H$52</c:f>
              <c:numCache/>
            </c:numRef>
          </c:val>
          <c:smooth val="0"/>
        </c:ser>
        <c:ser>
          <c:idx val="6"/>
          <c:order val="6"/>
          <c:tx>
            <c:v>PD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6dB3wayType2!$G$32:$G$52</c:f>
              <c:numCache/>
            </c:numRef>
          </c:val>
          <c:smooth val="0"/>
        </c:ser>
        <c:marker val="1"/>
        <c:axId val="16472460"/>
        <c:axId val="14034413"/>
      </c:lineChart>
      <c:catAx>
        <c:axId val="16472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34413"/>
        <c:crosses val="autoZero"/>
        <c:auto val="1"/>
        <c:lblOffset val="100"/>
        <c:tickLblSkip val="2"/>
        <c:noMultiLvlLbl val="0"/>
      </c:catAx>
      <c:valAx>
        <c:axId val="14034413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ZinX6/Total rated (ohm)
Voltage , Power (dB)
Phase Dist(X0.1deg/Hz)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72460"/>
        <c:crossesAt val="1"/>
        <c:crossBetween val="between"/>
        <c:dispUnits/>
        <c:majorUnit val="2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35"/>
          <c:y val="0.91525"/>
          <c:w val="0.7575"/>
          <c:h val="0.07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Zin/Output voltage,power/Phase Distortion (Group delay)</a:t>
            </a:r>
          </a:p>
        </c:rich>
      </c:tx>
      <c:layout>
        <c:manualLayout>
          <c:xMode val="factor"/>
          <c:yMode val="factor"/>
          <c:x val="0.053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63"/>
          <c:w val="0.8995"/>
          <c:h val="0.7775"/>
        </c:manualLayout>
      </c:layout>
      <c:lineChart>
        <c:grouping val="standard"/>
        <c:varyColors val="0"/>
        <c:ser>
          <c:idx val="0"/>
          <c:order val="0"/>
          <c:tx>
            <c:v>Low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'12dB3wayType1'!$B$53:$B$74</c:f>
              <c:strCache/>
            </c:strRef>
          </c:cat>
          <c:val>
            <c:numRef>
              <c:f>'12dB3wayType1'!$E$53:$E$74</c:f>
              <c:numCache/>
            </c:numRef>
          </c:val>
          <c:smooth val="0"/>
        </c:ser>
        <c:ser>
          <c:idx val="1"/>
          <c:order val="1"/>
          <c:tx>
            <c:v>Mid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'12dB3wayType1'!$B$53:$B$74</c:f>
              <c:strCache/>
            </c:strRef>
          </c:cat>
          <c:val>
            <c:numRef>
              <c:f>'12dB3wayType1'!$F$53:$F$74</c:f>
              <c:numCache/>
            </c:numRef>
          </c:val>
          <c:smooth val="0"/>
        </c:ser>
        <c:ser>
          <c:idx val="2"/>
          <c:order val="2"/>
          <c:tx>
            <c:v>High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'12dB3wayType1'!$B$53:$B$74</c:f>
              <c:strCache/>
            </c:strRef>
          </c:cat>
          <c:val>
            <c:numRef>
              <c:f>'12dB3wayType1'!$G$53:$G$74</c:f>
              <c:numCache/>
            </c:numRef>
          </c:val>
          <c:smooth val="0"/>
        </c:ser>
        <c:ser>
          <c:idx val="3"/>
          <c:order val="3"/>
          <c:tx>
            <c:v>Volt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'12dB3wayType1'!$B$53:$B$74</c:f>
              <c:strCache/>
            </c:strRef>
          </c:cat>
          <c:val>
            <c:numRef>
              <c:f>'12dB3wayType1'!$H$53:$H$74</c:f>
              <c:numCache/>
            </c:numRef>
          </c:val>
          <c:smooth val="0"/>
        </c:ser>
        <c:ser>
          <c:idx val="4"/>
          <c:order val="4"/>
          <c:tx>
            <c:v>Ｚｉｎ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'12dB3wayType1'!$E$31:$E$52</c:f>
              <c:numCache/>
            </c:numRef>
          </c:val>
          <c:smooth val="0"/>
        </c:ser>
        <c:ser>
          <c:idx val="5"/>
          <c:order val="5"/>
          <c:tx>
            <c:v>Power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'12dB3wayType1'!$H$31:$H$52</c:f>
              <c:numCache/>
            </c:numRef>
          </c:val>
          <c:smooth val="0"/>
        </c:ser>
        <c:ser>
          <c:idx val="6"/>
          <c:order val="6"/>
          <c:tx>
            <c:v>PD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'12dB3wayType1'!$G$32:$G$52</c:f>
              <c:numCache/>
            </c:numRef>
          </c:val>
          <c:smooth val="0"/>
        </c:ser>
        <c:marker val="1"/>
        <c:axId val="59200854"/>
        <c:axId val="63045639"/>
      </c:lineChart>
      <c:catAx>
        <c:axId val="59200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45639"/>
        <c:crosses val="autoZero"/>
        <c:auto val="1"/>
        <c:lblOffset val="100"/>
        <c:tickLblSkip val="2"/>
        <c:noMultiLvlLbl val="0"/>
      </c:catAx>
      <c:valAx>
        <c:axId val="63045639"/>
        <c:scaling>
          <c:orientation val="minMax"/>
          <c:max val="12"/>
          <c:min val="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ZinX6/Total rated (ohm)
Voltage , Power (dB)
Phase Dist(X0.1deg/Hz)</a:t>
                </a:r>
              </a:p>
            </c:rich>
          </c:tx>
          <c:layout>
            <c:manualLayout>
              <c:xMode val="factor"/>
              <c:yMode val="factor"/>
              <c:x val="0.01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00854"/>
        <c:crossesAt val="1"/>
        <c:crossBetween val="between"/>
        <c:dispUnits/>
        <c:majorUnit val="2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775"/>
          <c:y val="0.9185"/>
          <c:w val="0.7575"/>
          <c:h val="0.070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Zin/Output voltage,power/Phase Distortion (Group delay)</a:t>
            </a:r>
          </a:p>
        </c:rich>
      </c:tx>
      <c:layout>
        <c:manualLayout>
          <c:xMode val="factor"/>
          <c:yMode val="factor"/>
          <c:x val="0.057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05625"/>
          <c:w val="0.89925"/>
          <c:h val="0.78025"/>
        </c:manualLayout>
      </c:layout>
      <c:lineChart>
        <c:grouping val="standard"/>
        <c:varyColors val="0"/>
        <c:ser>
          <c:idx val="0"/>
          <c:order val="0"/>
          <c:tx>
            <c:v>Low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'12dB3wayType2'!$B$53:$B$74</c:f>
              <c:strCache/>
            </c:strRef>
          </c:cat>
          <c:val>
            <c:numRef>
              <c:f>'12dB3wayType2'!$E$53:$E$74</c:f>
              <c:numCache/>
            </c:numRef>
          </c:val>
          <c:smooth val="0"/>
        </c:ser>
        <c:ser>
          <c:idx val="1"/>
          <c:order val="1"/>
          <c:tx>
            <c:v>Mid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'12dB3wayType2'!$B$53:$B$74</c:f>
              <c:strCache/>
            </c:strRef>
          </c:cat>
          <c:val>
            <c:numRef>
              <c:f>'12dB3wayType2'!$F$53:$F$74</c:f>
              <c:numCache/>
            </c:numRef>
          </c:val>
          <c:smooth val="0"/>
        </c:ser>
        <c:ser>
          <c:idx val="2"/>
          <c:order val="2"/>
          <c:tx>
            <c:v>High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'12dB3wayType2'!$B$53:$B$74</c:f>
              <c:strCache/>
            </c:strRef>
          </c:cat>
          <c:val>
            <c:numRef>
              <c:f>'12dB3wayType2'!$G$53:$G$74</c:f>
              <c:numCache/>
            </c:numRef>
          </c:val>
          <c:smooth val="0"/>
        </c:ser>
        <c:ser>
          <c:idx val="3"/>
          <c:order val="3"/>
          <c:tx>
            <c:v>Volt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'12dB3wayType2'!$B$53:$B$74</c:f>
              <c:strCache/>
            </c:strRef>
          </c:cat>
          <c:val>
            <c:numRef>
              <c:f>'12dB3wayType2'!$H$53:$H$74</c:f>
              <c:numCache/>
            </c:numRef>
          </c:val>
          <c:smooth val="0"/>
        </c:ser>
        <c:ser>
          <c:idx val="4"/>
          <c:order val="4"/>
          <c:tx>
            <c:v>Ｚｉｎ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'12dB3wayType2'!$E$31:$E$52</c:f>
              <c:numCache/>
            </c:numRef>
          </c:val>
          <c:smooth val="0"/>
        </c:ser>
        <c:ser>
          <c:idx val="5"/>
          <c:order val="5"/>
          <c:tx>
            <c:v>Power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'12dB3wayType2'!$H$31:$H$52</c:f>
              <c:numCache/>
            </c:numRef>
          </c:val>
          <c:smooth val="0"/>
        </c:ser>
        <c:ser>
          <c:idx val="6"/>
          <c:order val="6"/>
          <c:tx>
            <c:v>PD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'12dB3wayType2'!$G$32:$G$52</c:f>
              <c:numCache/>
            </c:numRef>
          </c:val>
          <c:smooth val="0"/>
        </c:ser>
        <c:marker val="1"/>
        <c:axId val="30539840"/>
        <c:axId val="6423105"/>
      </c:lineChart>
      <c:catAx>
        <c:axId val="30539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3105"/>
        <c:crosses val="autoZero"/>
        <c:auto val="1"/>
        <c:lblOffset val="100"/>
        <c:tickLblSkip val="2"/>
        <c:noMultiLvlLbl val="0"/>
      </c:catAx>
      <c:valAx>
        <c:axId val="6423105"/>
        <c:scaling>
          <c:orientation val="minMax"/>
          <c:max val="12"/>
          <c:min val="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ZinX6/Total rated (ohm)
Voltage , Power (dB)
Phase Dist(X0.1deg/Hz)</a:t>
                </a:r>
              </a:p>
            </c:rich>
          </c:tx>
          <c:layout>
            <c:manualLayout>
              <c:xMode val="factor"/>
              <c:yMode val="factor"/>
              <c:x val="0.013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39840"/>
        <c:crossesAt val="1"/>
        <c:crossBetween val="between"/>
        <c:dispUnits/>
        <c:majorUnit val="2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575"/>
          <c:y val="0.9175"/>
          <c:w val="0.7575"/>
          <c:h val="0.071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Zin/Output voltage,power/Phase Distortion (Group delay)</a:t>
            </a:r>
          </a:p>
        </c:rich>
      </c:tx>
      <c:layout>
        <c:manualLayout>
          <c:xMode val="factor"/>
          <c:yMode val="factor"/>
          <c:x val="0.055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48"/>
          <c:w val="0.899"/>
          <c:h val="0.78675"/>
        </c:manualLayout>
      </c:layout>
      <c:lineChart>
        <c:grouping val="standard"/>
        <c:varyColors val="0"/>
        <c:ser>
          <c:idx val="0"/>
          <c:order val="0"/>
          <c:tx>
            <c:v>Low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'12dB3wayType3'!$B$53:$B$74</c:f>
              <c:strCache/>
            </c:strRef>
          </c:cat>
          <c:val>
            <c:numRef>
              <c:f>'12dB3wayType3'!$E$53:$E$74</c:f>
              <c:numCache/>
            </c:numRef>
          </c:val>
          <c:smooth val="0"/>
        </c:ser>
        <c:ser>
          <c:idx val="1"/>
          <c:order val="1"/>
          <c:tx>
            <c:v>Mid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'12dB3wayType3'!$B$53:$B$74</c:f>
              <c:strCache/>
            </c:strRef>
          </c:cat>
          <c:val>
            <c:numRef>
              <c:f>'12dB3wayType3'!$F$53:$F$74</c:f>
              <c:numCache/>
            </c:numRef>
          </c:val>
          <c:smooth val="0"/>
        </c:ser>
        <c:ser>
          <c:idx val="2"/>
          <c:order val="2"/>
          <c:tx>
            <c:v>High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'12dB3wayType3'!$B$53:$B$74</c:f>
              <c:strCache/>
            </c:strRef>
          </c:cat>
          <c:val>
            <c:numRef>
              <c:f>'12dB3wayType3'!$G$53:$G$74</c:f>
              <c:numCache/>
            </c:numRef>
          </c:val>
          <c:smooth val="0"/>
        </c:ser>
        <c:ser>
          <c:idx val="3"/>
          <c:order val="3"/>
          <c:tx>
            <c:v>Volt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'12dB3wayType3'!$B$53:$B$74</c:f>
              <c:strCache/>
            </c:strRef>
          </c:cat>
          <c:val>
            <c:numRef>
              <c:f>'12dB3wayType3'!$H$53:$H$74</c:f>
              <c:numCache/>
            </c:numRef>
          </c:val>
          <c:smooth val="0"/>
        </c:ser>
        <c:ser>
          <c:idx val="4"/>
          <c:order val="4"/>
          <c:tx>
            <c:v>Ｚｉｎ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'12dB3wayType3'!$E$31:$E$52</c:f>
              <c:numCache/>
            </c:numRef>
          </c:val>
          <c:smooth val="0"/>
        </c:ser>
        <c:ser>
          <c:idx val="5"/>
          <c:order val="5"/>
          <c:tx>
            <c:v>Power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'12dB3wayType3'!$H$31:$H$52</c:f>
              <c:numCache/>
            </c:numRef>
          </c:val>
          <c:smooth val="0"/>
        </c:ser>
        <c:ser>
          <c:idx val="6"/>
          <c:order val="6"/>
          <c:tx>
            <c:v>PD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'12dB3wayType3'!$G$32:$G$52</c:f>
              <c:numCache/>
            </c:numRef>
          </c:val>
          <c:smooth val="0"/>
        </c:ser>
        <c:marker val="1"/>
        <c:axId val="57807946"/>
        <c:axId val="50509467"/>
      </c:lineChart>
      <c:catAx>
        <c:axId val="57807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09467"/>
        <c:crosses val="autoZero"/>
        <c:auto val="1"/>
        <c:lblOffset val="100"/>
        <c:tickLblSkip val="2"/>
        <c:noMultiLvlLbl val="0"/>
      </c:catAx>
      <c:valAx>
        <c:axId val="50509467"/>
        <c:scaling>
          <c:orientation val="minMax"/>
          <c:max val="12"/>
          <c:min val="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ZinX6/Total rated (ohm)
Voltage , Power (dB)
Phase Dist(X0.1deg/Hz)</a:t>
                </a:r>
              </a:p>
            </c:rich>
          </c:tx>
          <c:layout>
            <c:manualLayout>
              <c:xMode val="factor"/>
              <c:yMode val="factor"/>
              <c:x val="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07946"/>
        <c:crossesAt val="1"/>
        <c:crossBetween val="between"/>
        <c:dispUnits/>
        <c:majorUnit val="2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975"/>
          <c:y val="0.9185"/>
          <c:w val="0.7575"/>
          <c:h val="0.070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Zin/Output voltage,power/Phase Distortion (Group delay)</a:t>
            </a:r>
          </a:p>
        </c:rich>
      </c:tx>
      <c:layout>
        <c:manualLayout>
          <c:xMode val="factor"/>
          <c:yMode val="factor"/>
          <c:x val="0.045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0665"/>
          <c:w val="0.90525"/>
          <c:h val="0.76825"/>
        </c:manualLayout>
      </c:layout>
      <c:lineChart>
        <c:grouping val="standard"/>
        <c:varyColors val="0"/>
        <c:ser>
          <c:idx val="0"/>
          <c:order val="0"/>
          <c:tx>
            <c:v>Low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'12&amp;6dB3wayType'!$B$53:$B$74</c:f>
              <c:strCache/>
            </c:strRef>
          </c:cat>
          <c:val>
            <c:numRef>
              <c:f>'12&amp;6dB3wayType'!$E$53:$E$74</c:f>
              <c:numCache/>
            </c:numRef>
          </c:val>
          <c:smooth val="0"/>
        </c:ser>
        <c:ser>
          <c:idx val="1"/>
          <c:order val="1"/>
          <c:tx>
            <c:v>Mid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'12&amp;6dB3wayType'!$B$53:$B$74</c:f>
              <c:strCache/>
            </c:strRef>
          </c:cat>
          <c:val>
            <c:numRef>
              <c:f>'12&amp;6dB3wayType'!$F$53:$F$74</c:f>
              <c:numCache/>
            </c:numRef>
          </c:val>
          <c:smooth val="0"/>
        </c:ser>
        <c:ser>
          <c:idx val="2"/>
          <c:order val="2"/>
          <c:tx>
            <c:v>High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'12&amp;6dB3wayType'!$B$53:$B$74</c:f>
              <c:strCache/>
            </c:strRef>
          </c:cat>
          <c:val>
            <c:numRef>
              <c:f>'12&amp;6dB3wayType'!$G$53:$G$74</c:f>
              <c:numCache/>
            </c:numRef>
          </c:val>
          <c:smooth val="0"/>
        </c:ser>
        <c:ser>
          <c:idx val="3"/>
          <c:order val="3"/>
          <c:tx>
            <c:v>Volt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'12&amp;6dB3wayType'!$B$53:$B$74</c:f>
              <c:strCache/>
            </c:strRef>
          </c:cat>
          <c:val>
            <c:numRef>
              <c:f>'12&amp;6dB3wayType'!$H$53:$H$74</c:f>
              <c:numCache/>
            </c:numRef>
          </c:val>
          <c:smooth val="0"/>
        </c:ser>
        <c:ser>
          <c:idx val="4"/>
          <c:order val="4"/>
          <c:tx>
            <c:v>Ｚｉｎ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'12&amp;6dB3wayType'!$B$53:$B$74</c:f>
              <c:strCache/>
            </c:strRef>
          </c:cat>
          <c:val>
            <c:numRef>
              <c:f>'12&amp;6dB3wayType'!$E$31:$E$52</c:f>
              <c:numCache/>
            </c:numRef>
          </c:val>
          <c:smooth val="0"/>
        </c:ser>
        <c:ser>
          <c:idx val="5"/>
          <c:order val="5"/>
          <c:tx>
            <c:v>Power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'12&amp;6dB3wayType'!$H$31:$H$52</c:f>
              <c:numCache/>
            </c:numRef>
          </c:val>
          <c:smooth val="0"/>
        </c:ser>
        <c:ser>
          <c:idx val="6"/>
          <c:order val="6"/>
          <c:tx>
            <c:v>PD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'12&amp;6dB3wayType'!$G$32:$G$52</c:f>
              <c:numCache/>
            </c:numRef>
          </c:val>
          <c:smooth val="0"/>
        </c:ser>
        <c:marker val="1"/>
        <c:axId val="51932020"/>
        <c:axId val="64734997"/>
      </c:lineChart>
      <c:catAx>
        <c:axId val="51932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34997"/>
        <c:crosses val="autoZero"/>
        <c:auto val="1"/>
        <c:lblOffset val="100"/>
        <c:tickLblSkip val="2"/>
        <c:noMultiLvlLbl val="0"/>
      </c:catAx>
      <c:valAx>
        <c:axId val="64734997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ZinX6/Total rated (ohm)
Voltage , Power (dB)
Phase Dist(X0.1deg/Hz)</a:t>
                </a:r>
              </a:p>
            </c:rich>
          </c:tx>
          <c:layout>
            <c:manualLayout>
              <c:xMode val="factor"/>
              <c:yMode val="factor"/>
              <c:x val="0.012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932020"/>
        <c:crossesAt val="1"/>
        <c:crossBetween val="between"/>
        <c:dispUnits/>
        <c:majorUnit val="2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975"/>
          <c:y val="0.9185"/>
          <c:w val="0.7575"/>
          <c:h val="0.070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Zin/Output voltage,power/Phase Distortion (Group delay)</a:t>
            </a:r>
          </a:p>
        </c:rich>
      </c:tx>
      <c:layout>
        <c:manualLayout>
          <c:xMode val="factor"/>
          <c:yMode val="factor"/>
          <c:x val="0.064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05175"/>
          <c:w val="0.9105"/>
          <c:h val="0.785"/>
        </c:manualLayout>
      </c:layout>
      <c:lineChart>
        <c:grouping val="standard"/>
        <c:varyColors val="0"/>
        <c:ser>
          <c:idx val="0"/>
          <c:order val="0"/>
          <c:tx>
            <c:v>Low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'18dB3wayType'!$B$53:$B$74</c:f>
              <c:strCache/>
            </c:strRef>
          </c:cat>
          <c:val>
            <c:numRef>
              <c:f>'18dB3wayType'!$E$53:$E$74</c:f>
              <c:numCache/>
            </c:numRef>
          </c:val>
          <c:smooth val="0"/>
        </c:ser>
        <c:ser>
          <c:idx val="1"/>
          <c:order val="1"/>
          <c:tx>
            <c:v>Mid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'18dB3wayType'!$B$53:$B$74</c:f>
              <c:strCache/>
            </c:strRef>
          </c:cat>
          <c:val>
            <c:numRef>
              <c:f>'18dB3wayType'!$F$53:$F$74</c:f>
              <c:numCache/>
            </c:numRef>
          </c:val>
          <c:smooth val="0"/>
        </c:ser>
        <c:ser>
          <c:idx val="2"/>
          <c:order val="2"/>
          <c:tx>
            <c:v>High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'18dB3wayType'!$B$53:$B$74</c:f>
              <c:strCache/>
            </c:strRef>
          </c:cat>
          <c:val>
            <c:numRef>
              <c:f>'18dB3wayType'!$G$53:$G$74</c:f>
              <c:numCache/>
            </c:numRef>
          </c:val>
          <c:smooth val="0"/>
        </c:ser>
        <c:ser>
          <c:idx val="4"/>
          <c:order val="3"/>
          <c:tx>
            <c:v>Volt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'18dB3wayType'!$I$53:$I$74</c:f>
              <c:numCache/>
            </c:numRef>
          </c:val>
          <c:smooth val="0"/>
        </c:ser>
        <c:ser>
          <c:idx val="5"/>
          <c:order val="4"/>
          <c:tx>
            <c:v>Ｚｉｎ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'18dB3wayType'!$E$31:$E$52</c:f>
              <c:numCache/>
            </c:numRef>
          </c:val>
          <c:smooth val="0"/>
        </c:ser>
        <c:ser>
          <c:idx val="6"/>
          <c:order val="5"/>
          <c:tx>
            <c:v>Power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'18dB3wayType'!$I$31:$I$52</c:f>
              <c:numCache/>
            </c:numRef>
          </c:val>
          <c:smooth val="0"/>
        </c:ser>
        <c:ser>
          <c:idx val="3"/>
          <c:order val="6"/>
          <c:tx>
            <c:v>PD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'18dB3wayType'!$H$32:$H$52</c:f>
              <c:numCache/>
            </c:numRef>
          </c:val>
          <c:smooth val="0"/>
        </c:ser>
        <c:marker val="1"/>
        <c:axId val="45744062"/>
        <c:axId val="9043375"/>
      </c:lineChart>
      <c:catAx>
        <c:axId val="45744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43375"/>
        <c:crosses val="autoZero"/>
        <c:auto val="1"/>
        <c:lblOffset val="100"/>
        <c:tickLblSkip val="2"/>
        <c:noMultiLvlLbl val="0"/>
      </c:catAx>
      <c:valAx>
        <c:axId val="9043375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ZinX6/Total rated (ohm)
Voltage , Power (dB)
Phase Dist(X0.1deg/Hz)</a:t>
                </a:r>
              </a:p>
            </c:rich>
          </c:tx>
          <c:layout>
            <c:manualLayout>
              <c:xMode val="factor"/>
              <c:yMode val="factor"/>
              <c:x val="0.01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44062"/>
        <c:crossesAt val="1"/>
        <c:crossBetween val="between"/>
        <c:dispUnits/>
        <c:majorUnit val="2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725"/>
          <c:y val="0.9185"/>
          <c:w val="0.747"/>
          <c:h val="0.070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Output Voltage to speakers ( Adjusting rate = 0 dB )</a:t>
            </a:r>
          </a:p>
        </c:rich>
      </c:tx>
      <c:layout>
        <c:manualLayout>
          <c:xMode val="factor"/>
          <c:yMode val="factor"/>
          <c:x val="0.048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78"/>
          <c:w val="0.8855"/>
          <c:h val="0.765"/>
        </c:manualLayout>
      </c:layout>
      <c:lineChart>
        <c:grouping val="standard"/>
        <c:varyColors val="0"/>
        <c:ser>
          <c:idx val="0"/>
          <c:order val="0"/>
          <c:tx>
            <c:v>Low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SpeakerCorrection1!$B$56:$B$77</c:f>
              <c:strCache/>
            </c:strRef>
          </c:cat>
          <c:val>
            <c:numRef>
              <c:f>SpeakerCorrection1!$E$56:$E$77</c:f>
              <c:numCache/>
            </c:numRef>
          </c:val>
          <c:smooth val="0"/>
        </c:ser>
        <c:ser>
          <c:idx val="1"/>
          <c:order val="1"/>
          <c:tx>
            <c:v>Mid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SpeakerCorrection1!$F$56:$F$77</c:f>
              <c:numCache/>
            </c:numRef>
          </c:val>
          <c:smooth val="0"/>
        </c:ser>
        <c:ser>
          <c:idx val="2"/>
          <c:order val="2"/>
          <c:tx>
            <c:v>High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SpeakerCorrection1!$G$56:$G$77</c:f>
              <c:numCache/>
            </c:numRef>
          </c:val>
          <c:smooth val="0"/>
        </c:ser>
        <c:ser>
          <c:idx val="3"/>
          <c:order val="3"/>
          <c:tx>
            <c:v>Ultra</c:v>
          </c:tx>
          <c:spPr>
            <a:ln w="254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SpeakerCorrection1!$H$56:$H$77</c:f>
              <c:numCache/>
            </c:numRef>
          </c:val>
          <c:smooth val="0"/>
        </c:ser>
        <c:marker val="1"/>
        <c:axId val="14281512"/>
        <c:axId val="61424745"/>
      </c:lineChart>
      <c:catAx>
        <c:axId val="14281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Frequency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（Ｈｚ）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25400">
            <a:solidFill>
              <a:srgbClr val="000000"/>
            </a:solidFill>
          </a:ln>
        </c:spPr>
        <c:crossAx val="61424745"/>
        <c:crosses val="autoZero"/>
        <c:auto val="1"/>
        <c:lblOffset val="100"/>
        <c:tickLblSkip val="2"/>
        <c:noMultiLvlLbl val="0"/>
      </c:catAx>
      <c:valAx>
        <c:axId val="61424745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Output Voltage (dB)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281512"/>
        <c:crossesAt val="1"/>
        <c:crossBetween val="between"/>
        <c:dispUnits/>
        <c:majorUnit val="5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2"/>
          <c:y val="0.9185"/>
          <c:w val="0.629"/>
          <c:h val="0.070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Output Voltage to speakers ( Adjusting rate = 0 dB )</a:t>
            </a:r>
          </a:p>
        </c:rich>
      </c:tx>
      <c:layout>
        <c:manualLayout>
          <c:xMode val="factor"/>
          <c:yMode val="factor"/>
          <c:x val="0.0642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09275"/>
          <c:w val="0.89675"/>
          <c:h val="0.75025"/>
        </c:manualLayout>
      </c:layout>
      <c:lineChart>
        <c:grouping val="standard"/>
        <c:varyColors val="0"/>
        <c:ser>
          <c:idx val="0"/>
          <c:order val="0"/>
          <c:tx>
            <c:v>Low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SpeakerCorrection2!$B$56:$B$77</c:f>
              <c:strCache/>
            </c:strRef>
          </c:cat>
          <c:val>
            <c:numRef>
              <c:f>SpeakerCorrection2!$E$56:$E$77</c:f>
              <c:numCache/>
            </c:numRef>
          </c:val>
          <c:smooth val="0"/>
        </c:ser>
        <c:ser>
          <c:idx val="1"/>
          <c:order val="1"/>
          <c:tx>
            <c:v>Mid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SpeakerCorrection2!$F$56:$F$77</c:f>
              <c:numCache/>
            </c:numRef>
          </c:val>
          <c:smooth val="0"/>
        </c:ser>
        <c:ser>
          <c:idx val="2"/>
          <c:order val="2"/>
          <c:tx>
            <c:v>High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SpeakerCorrection2!$G$56:$G$77</c:f>
              <c:numCache/>
            </c:numRef>
          </c:val>
          <c:smooth val="1"/>
        </c:ser>
        <c:ser>
          <c:idx val="3"/>
          <c:order val="3"/>
          <c:tx>
            <c:v>Ultra</c:v>
          </c:tx>
          <c:spPr>
            <a:ln w="254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SpeakerCorrection2!$H$56:$H$77</c:f>
              <c:numCache/>
            </c:numRef>
          </c:val>
          <c:smooth val="0"/>
        </c:ser>
        <c:marker val="1"/>
        <c:axId val="15951794"/>
        <c:axId val="9348419"/>
      </c:lineChart>
      <c:catAx>
        <c:axId val="15951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Frequency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（Ｈｚ）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crossAx val="9348419"/>
        <c:crosses val="autoZero"/>
        <c:auto val="1"/>
        <c:lblOffset val="100"/>
        <c:tickLblSkip val="2"/>
        <c:noMultiLvlLbl val="0"/>
      </c:catAx>
      <c:valAx>
        <c:axId val="9348419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Output Voltage (dB)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951794"/>
        <c:crossesAt val="1"/>
        <c:crossBetween val="between"/>
        <c:dispUnits/>
        <c:majorUnit val="5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1875"/>
          <c:w val="0.6275"/>
          <c:h val="0.07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6.jpeg" /><Relationship Id="rId3" Type="http://schemas.openxmlformats.org/officeDocument/2006/relationships/image" Target="../media/image17.jpeg" /><Relationship Id="rId4" Type="http://schemas.openxmlformats.org/officeDocument/2006/relationships/image" Target="../media/image18.jpeg" /><Relationship Id="rId5" Type="http://schemas.openxmlformats.org/officeDocument/2006/relationships/image" Target="../media/image1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9.jpeg" /><Relationship Id="rId3" Type="http://schemas.openxmlformats.org/officeDocument/2006/relationships/image" Target="../media/image17.jpeg" /><Relationship Id="rId4" Type="http://schemas.openxmlformats.org/officeDocument/2006/relationships/image" Target="../media/image20.jpeg" /><Relationship Id="rId5" Type="http://schemas.openxmlformats.org/officeDocument/2006/relationships/image" Target="../media/image1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4.jpeg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5.jpeg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6.jpeg" /><Relationship Id="rId3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7.jpeg" /><Relationship Id="rId3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8.jpeg" /><Relationship Id="rId3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Relationship Id="rId4" Type="http://schemas.openxmlformats.org/officeDocument/2006/relationships/image" Target="../media/image11.jpeg" /><Relationship Id="rId5" Type="http://schemas.openxmlformats.org/officeDocument/2006/relationships/image" Target="../media/image1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3.jpeg" /><Relationship Id="rId3" Type="http://schemas.openxmlformats.org/officeDocument/2006/relationships/image" Target="../media/image14.jpeg" /><Relationship Id="rId4" Type="http://schemas.openxmlformats.org/officeDocument/2006/relationships/image" Target="../media/image15.jpeg" /><Relationship Id="rId5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</xdr:row>
      <xdr:rowOff>9525</xdr:rowOff>
    </xdr:from>
    <xdr:to>
      <xdr:col>7</xdr:col>
      <xdr:colOff>828675</xdr:colOff>
      <xdr:row>15</xdr:row>
      <xdr:rowOff>0</xdr:rowOff>
    </xdr:to>
    <xdr:graphicFrame>
      <xdr:nvGraphicFramePr>
        <xdr:cNvPr id="1" name="グラフ 2"/>
        <xdr:cNvGraphicFramePr/>
      </xdr:nvGraphicFramePr>
      <xdr:xfrm>
        <a:off x="1905000" y="200025"/>
        <a:ext cx="49149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1</xdr:row>
      <xdr:rowOff>19050</xdr:rowOff>
    </xdr:from>
    <xdr:to>
      <xdr:col>1</xdr:col>
      <xdr:colOff>419100</xdr:colOff>
      <xdr:row>10</xdr:row>
      <xdr:rowOff>180975</xdr:rowOff>
    </xdr:to>
    <xdr:pic>
      <xdr:nvPicPr>
        <xdr:cNvPr id="2" name="Picture 13" descr="C:\データファィル\スピーカーネットワーク\設計プログラム\３ｗａｙ０６ｄＢ／ｏｃｔ\既存３ｗａｙ６ｄＢ／ｏｃｔ並列s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09550"/>
          <a:ext cx="1866900" cy="18764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19050</xdr:colOff>
      <xdr:row>11</xdr:row>
      <xdr:rowOff>9525</xdr:rowOff>
    </xdr:from>
    <xdr:to>
      <xdr:col>1</xdr:col>
      <xdr:colOff>419100</xdr:colOff>
      <xdr:row>15</xdr:row>
      <xdr:rowOff>0</xdr:rowOff>
    </xdr:to>
    <xdr:pic>
      <xdr:nvPicPr>
        <xdr:cNvPr id="3" name="Picture 19" descr="E:\データファィル\スピーカーネットワーク\設計プログラム\NetworkCircuitDsign\スピーカー補正回路\抵抗減衰器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2105025"/>
          <a:ext cx="1876425" cy="7524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</xdr:row>
      <xdr:rowOff>9525</xdr:rowOff>
    </xdr:from>
    <xdr:to>
      <xdr:col>8</xdr:col>
      <xdr:colOff>0</xdr:colOff>
      <xdr:row>15</xdr:row>
      <xdr:rowOff>0</xdr:rowOff>
    </xdr:to>
    <xdr:graphicFrame>
      <xdr:nvGraphicFramePr>
        <xdr:cNvPr id="1" name="グラフ 1"/>
        <xdr:cNvGraphicFramePr/>
      </xdr:nvGraphicFramePr>
      <xdr:xfrm>
        <a:off x="2619375" y="200025"/>
        <a:ext cx="421957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1352550</xdr:colOff>
      <xdr:row>8</xdr:row>
      <xdr:rowOff>0</xdr:rowOff>
    </xdr:to>
    <xdr:pic>
      <xdr:nvPicPr>
        <xdr:cNvPr id="2" name="Picture 32" descr="E:\データファィル\スピーカーネットワーク\設計プログラム\NetworkCircuitDsign\スピーカー補正回路\SeriesHighpass1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0"/>
          <a:ext cx="1352550" cy="13335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8</xdr:row>
      <xdr:rowOff>19050</xdr:rowOff>
    </xdr:from>
    <xdr:to>
      <xdr:col>0</xdr:col>
      <xdr:colOff>1343025</xdr:colOff>
      <xdr:row>14</xdr:row>
      <xdr:rowOff>180975</xdr:rowOff>
    </xdr:to>
    <xdr:pic>
      <xdr:nvPicPr>
        <xdr:cNvPr id="3" name="Picture 33" descr="E:\データファィル\スピーカーネットワーク\設計プログラム\NetworkCircuitDsign\スピーカー補正回路\SeriesLowpass1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543050"/>
          <a:ext cx="1343025" cy="1304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1362075</xdr:colOff>
      <xdr:row>1</xdr:row>
      <xdr:rowOff>0</xdr:rowOff>
    </xdr:from>
    <xdr:to>
      <xdr:col>2</xdr:col>
      <xdr:colOff>57150</xdr:colOff>
      <xdr:row>10</xdr:row>
      <xdr:rowOff>161925</xdr:rowOff>
    </xdr:to>
    <xdr:pic>
      <xdr:nvPicPr>
        <xdr:cNvPr id="4" name="Picture 34" descr="E:\データファィル\スピーカーネットワーク\設計プログラム\NetworkCircuitDsign\スピーカー補正回路\SeriesBandpass1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62075" y="190500"/>
          <a:ext cx="1247775" cy="18764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1362075</xdr:colOff>
      <xdr:row>10</xdr:row>
      <xdr:rowOff>180975</xdr:rowOff>
    </xdr:from>
    <xdr:to>
      <xdr:col>2</xdr:col>
      <xdr:colOff>66675</xdr:colOff>
      <xdr:row>14</xdr:row>
      <xdr:rowOff>180975</xdr:rowOff>
    </xdr:to>
    <xdr:pic>
      <xdr:nvPicPr>
        <xdr:cNvPr id="5" name="Picture 35" descr="E:\データファィル\スピーカーネットワーク\設計プログラム\NetworkCircuitDsign\スピーカー補正回路\Attenuator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62075" y="2085975"/>
          <a:ext cx="1257300" cy="7620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</xdr:row>
      <xdr:rowOff>0</xdr:rowOff>
    </xdr:from>
    <xdr:to>
      <xdr:col>8</xdr:col>
      <xdr:colOff>0</xdr:colOff>
      <xdr:row>15</xdr:row>
      <xdr:rowOff>0</xdr:rowOff>
    </xdr:to>
    <xdr:graphicFrame>
      <xdr:nvGraphicFramePr>
        <xdr:cNvPr id="1" name="グラフ 1"/>
        <xdr:cNvGraphicFramePr/>
      </xdr:nvGraphicFramePr>
      <xdr:xfrm>
        <a:off x="2609850" y="190500"/>
        <a:ext cx="42291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19050</xdr:rowOff>
    </xdr:from>
    <xdr:to>
      <xdr:col>0</xdr:col>
      <xdr:colOff>1314450</xdr:colOff>
      <xdr:row>8</xdr:row>
      <xdr:rowOff>0</xdr:rowOff>
    </xdr:to>
    <xdr:pic>
      <xdr:nvPicPr>
        <xdr:cNvPr id="2" name="Picture 30" descr="E:\データファィル\スピーカーネットワーク\設計プログラム\NetworkCircuitDsign\スピーカー補正回路\ParallelHighpass1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9550"/>
          <a:ext cx="1314450" cy="13144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8</xdr:row>
      <xdr:rowOff>9525</xdr:rowOff>
    </xdr:from>
    <xdr:to>
      <xdr:col>0</xdr:col>
      <xdr:colOff>1314450</xdr:colOff>
      <xdr:row>14</xdr:row>
      <xdr:rowOff>180975</xdr:rowOff>
    </xdr:to>
    <xdr:pic>
      <xdr:nvPicPr>
        <xdr:cNvPr id="3" name="Picture 31" descr="E:\データファィル\スピーカーネットワーク\設計プログラム\NetworkCircuitDsign\スピーカー補正回路\SeriesLowpass1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533525"/>
          <a:ext cx="1314450" cy="13144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1333500</xdr:colOff>
      <xdr:row>1</xdr:row>
      <xdr:rowOff>9525</xdr:rowOff>
    </xdr:from>
    <xdr:to>
      <xdr:col>2</xdr:col>
      <xdr:colOff>47625</xdr:colOff>
      <xdr:row>11</xdr:row>
      <xdr:rowOff>0</xdr:rowOff>
    </xdr:to>
    <xdr:pic>
      <xdr:nvPicPr>
        <xdr:cNvPr id="4" name="Picture 32" descr="E:\データファィル\スピーカーネットワーク\設計プログラム\NetworkCircuitDsign\スピーカー補正回路\ParallelBandpass1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" y="200025"/>
          <a:ext cx="1266825" cy="18954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1333500</xdr:colOff>
      <xdr:row>11</xdr:row>
      <xdr:rowOff>9525</xdr:rowOff>
    </xdr:from>
    <xdr:to>
      <xdr:col>2</xdr:col>
      <xdr:colOff>47625</xdr:colOff>
      <xdr:row>14</xdr:row>
      <xdr:rowOff>180975</xdr:rowOff>
    </xdr:to>
    <xdr:pic>
      <xdr:nvPicPr>
        <xdr:cNvPr id="5" name="Picture 33" descr="E:\データファィル\スピーカーネットワーク\設計プログラム\NetworkCircuitDsign\スピーカー補正回路\Attenuator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0" y="2105025"/>
          <a:ext cx="1266825" cy="742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</xdr:row>
      <xdr:rowOff>0</xdr:rowOff>
    </xdr:from>
    <xdr:to>
      <xdr:col>7</xdr:col>
      <xdr:colOff>828675</xdr:colOff>
      <xdr:row>15</xdr:row>
      <xdr:rowOff>0</xdr:rowOff>
    </xdr:to>
    <xdr:graphicFrame>
      <xdr:nvGraphicFramePr>
        <xdr:cNvPr id="1" name="グラフ 2"/>
        <xdr:cNvGraphicFramePr/>
      </xdr:nvGraphicFramePr>
      <xdr:xfrm>
        <a:off x="1905000" y="190500"/>
        <a:ext cx="49149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28575</xdr:colOff>
      <xdr:row>1</xdr:row>
      <xdr:rowOff>0</xdr:rowOff>
    </xdr:from>
    <xdr:to>
      <xdr:col>1</xdr:col>
      <xdr:colOff>419100</xdr:colOff>
      <xdr:row>10</xdr:row>
      <xdr:rowOff>171450</xdr:rowOff>
    </xdr:to>
    <xdr:pic>
      <xdr:nvPicPr>
        <xdr:cNvPr id="2" name="Picture 28" descr="C:\データファィル\スピーカーネットワーク\設計プログラム\３ｗａｙ０６ｄＢ／ｏｃｔ\新方式３ｗａｙ６ｄＢ／ｏｃｔ全並列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0"/>
          <a:ext cx="1866900" cy="1885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19050</xdr:colOff>
      <xdr:row>11</xdr:row>
      <xdr:rowOff>9525</xdr:rowOff>
    </xdr:from>
    <xdr:to>
      <xdr:col>1</xdr:col>
      <xdr:colOff>419100</xdr:colOff>
      <xdr:row>15</xdr:row>
      <xdr:rowOff>0</xdr:rowOff>
    </xdr:to>
    <xdr:pic>
      <xdr:nvPicPr>
        <xdr:cNvPr id="3" name="Picture 34" descr="E:\データファィル\スピーカーネットワーク\設計プログラム\NetworkCircuitDsign\スピーカー補正回路\抵抗減衰器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2105025"/>
          <a:ext cx="1876425" cy="7524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</xdr:row>
      <xdr:rowOff>9525</xdr:rowOff>
    </xdr:from>
    <xdr:to>
      <xdr:col>7</xdr:col>
      <xdr:colOff>828675</xdr:colOff>
      <xdr:row>15</xdr:row>
      <xdr:rowOff>0</xdr:rowOff>
    </xdr:to>
    <xdr:graphicFrame>
      <xdr:nvGraphicFramePr>
        <xdr:cNvPr id="1" name="グラフ 1027"/>
        <xdr:cNvGraphicFramePr/>
      </xdr:nvGraphicFramePr>
      <xdr:xfrm>
        <a:off x="1905000" y="200025"/>
        <a:ext cx="49149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1</xdr:row>
      <xdr:rowOff>19050</xdr:rowOff>
    </xdr:from>
    <xdr:to>
      <xdr:col>1</xdr:col>
      <xdr:colOff>419100</xdr:colOff>
      <xdr:row>10</xdr:row>
      <xdr:rowOff>180975</xdr:rowOff>
    </xdr:to>
    <xdr:pic>
      <xdr:nvPicPr>
        <xdr:cNvPr id="2" name="Picture 1045" descr="C:\データファィル\スピーカーネットワーク\設計プログラム\３ｗａｙ１２ｄＢ／ｏｃｔ\既存３ｗａｙ１２ｄＢ／ｏｃｔ並列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09550"/>
          <a:ext cx="1876425" cy="18764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19050</xdr:colOff>
      <xdr:row>11</xdr:row>
      <xdr:rowOff>9525</xdr:rowOff>
    </xdr:from>
    <xdr:to>
      <xdr:col>1</xdr:col>
      <xdr:colOff>419100</xdr:colOff>
      <xdr:row>15</xdr:row>
      <xdr:rowOff>0</xdr:rowOff>
    </xdr:to>
    <xdr:pic>
      <xdr:nvPicPr>
        <xdr:cNvPr id="3" name="Picture 1051" descr="E:\データファィル\スピーカーネットワーク\設計プログラム\NetworkCircuitDsign\スピーカー補正回路\抵抗減衰器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2105025"/>
          <a:ext cx="1876425" cy="7524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</xdr:row>
      <xdr:rowOff>9525</xdr:rowOff>
    </xdr:from>
    <xdr:to>
      <xdr:col>7</xdr:col>
      <xdr:colOff>828675</xdr:colOff>
      <xdr:row>14</xdr:row>
      <xdr:rowOff>161925</xdr:rowOff>
    </xdr:to>
    <xdr:graphicFrame>
      <xdr:nvGraphicFramePr>
        <xdr:cNvPr id="1" name="グラフ 1"/>
        <xdr:cNvGraphicFramePr/>
      </xdr:nvGraphicFramePr>
      <xdr:xfrm>
        <a:off x="1905000" y="200025"/>
        <a:ext cx="49149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1</xdr:row>
      <xdr:rowOff>19050</xdr:rowOff>
    </xdr:from>
    <xdr:to>
      <xdr:col>1</xdr:col>
      <xdr:colOff>419100</xdr:colOff>
      <xdr:row>10</xdr:row>
      <xdr:rowOff>180975</xdr:rowOff>
    </xdr:to>
    <xdr:pic>
      <xdr:nvPicPr>
        <xdr:cNvPr id="2" name="Picture 5" descr="C:\データファィル\スピーカーネットワーク\設計プログラム\３ｗａｙ１２ｄＢ／ｏｃｔ\新方式３ｗａｙ１２ｄＢ／ｏｃｔ全並列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09550"/>
          <a:ext cx="1876425" cy="18764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19050</xdr:colOff>
      <xdr:row>11</xdr:row>
      <xdr:rowOff>9525</xdr:rowOff>
    </xdr:from>
    <xdr:to>
      <xdr:col>1</xdr:col>
      <xdr:colOff>419100</xdr:colOff>
      <xdr:row>15</xdr:row>
      <xdr:rowOff>0</xdr:rowOff>
    </xdr:to>
    <xdr:pic>
      <xdr:nvPicPr>
        <xdr:cNvPr id="3" name="Picture 11" descr="E:\データファィル\スピーカーネットワーク\設計プログラム\NetworkCircuitDsign\スピーカー補正回路\抵抗減衰器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2105025"/>
          <a:ext cx="1876425" cy="7524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</xdr:row>
      <xdr:rowOff>9525</xdr:rowOff>
    </xdr:from>
    <xdr:to>
      <xdr:col>7</xdr:col>
      <xdr:colOff>828675</xdr:colOff>
      <xdr:row>15</xdr:row>
      <xdr:rowOff>0</xdr:rowOff>
    </xdr:to>
    <xdr:graphicFrame>
      <xdr:nvGraphicFramePr>
        <xdr:cNvPr id="1" name="グラフ 1"/>
        <xdr:cNvGraphicFramePr/>
      </xdr:nvGraphicFramePr>
      <xdr:xfrm>
        <a:off x="1905000" y="200025"/>
        <a:ext cx="49149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1</xdr:row>
      <xdr:rowOff>19050</xdr:rowOff>
    </xdr:from>
    <xdr:to>
      <xdr:col>1</xdr:col>
      <xdr:colOff>419100</xdr:colOff>
      <xdr:row>11</xdr:row>
      <xdr:rowOff>0</xdr:rowOff>
    </xdr:to>
    <xdr:pic>
      <xdr:nvPicPr>
        <xdr:cNvPr id="2" name="Picture 3" descr="C:\データファィル\スピーカーネットワーク\設計プログラム\３ｗａｙ１２ｄＢ／ｏｃｔ\新方式３ｗａｙ１２ｄＢ／ｏｃｔ全並列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09550"/>
          <a:ext cx="1876425" cy="1885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19050</xdr:colOff>
      <xdr:row>11</xdr:row>
      <xdr:rowOff>9525</xdr:rowOff>
    </xdr:from>
    <xdr:to>
      <xdr:col>1</xdr:col>
      <xdr:colOff>419100</xdr:colOff>
      <xdr:row>15</xdr:row>
      <xdr:rowOff>0</xdr:rowOff>
    </xdr:to>
    <xdr:pic>
      <xdr:nvPicPr>
        <xdr:cNvPr id="3" name="Picture 9" descr="E:\データファィル\スピーカーネットワーク\設計プログラム\NetworkCircuitDsign\スピーカー補正回路\抵抗減衰器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2105025"/>
          <a:ext cx="1876425" cy="7524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</xdr:row>
      <xdr:rowOff>9525</xdr:rowOff>
    </xdr:from>
    <xdr:to>
      <xdr:col>7</xdr:col>
      <xdr:colOff>828675</xdr:colOff>
      <xdr:row>15</xdr:row>
      <xdr:rowOff>0</xdr:rowOff>
    </xdr:to>
    <xdr:graphicFrame>
      <xdr:nvGraphicFramePr>
        <xdr:cNvPr id="1" name="グラフ 14"/>
        <xdr:cNvGraphicFramePr/>
      </xdr:nvGraphicFramePr>
      <xdr:xfrm>
        <a:off x="1905000" y="200025"/>
        <a:ext cx="49149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1</xdr:row>
      <xdr:rowOff>19050</xdr:rowOff>
    </xdr:from>
    <xdr:to>
      <xdr:col>1</xdr:col>
      <xdr:colOff>419100</xdr:colOff>
      <xdr:row>11</xdr:row>
      <xdr:rowOff>0</xdr:rowOff>
    </xdr:to>
    <xdr:pic>
      <xdr:nvPicPr>
        <xdr:cNvPr id="2" name="Picture 25" descr="C:\データファィル\スピーカーネットワーク\設計プログラム\３ｗａｙ１２＆６ｄＢ／ｏｃｔ\新方式３ｗａｙ１２＆６ｄＢ／ｏｃｔ全並列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09550"/>
          <a:ext cx="1885950" cy="1885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19050</xdr:colOff>
      <xdr:row>11</xdr:row>
      <xdr:rowOff>9525</xdr:rowOff>
    </xdr:from>
    <xdr:to>
      <xdr:col>1</xdr:col>
      <xdr:colOff>419100</xdr:colOff>
      <xdr:row>15</xdr:row>
      <xdr:rowOff>0</xdr:rowOff>
    </xdr:to>
    <xdr:pic>
      <xdr:nvPicPr>
        <xdr:cNvPr id="3" name="Picture 31" descr="E:\データファィル\スピーカーネットワーク\設計プログラム\NetworkCircuitDsign\スピーカー補正回路\抵抗減衰器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2105025"/>
          <a:ext cx="1876425" cy="7524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</xdr:row>
      <xdr:rowOff>9525</xdr:rowOff>
    </xdr:from>
    <xdr:to>
      <xdr:col>9</xdr:col>
      <xdr:colOff>0</xdr:colOff>
      <xdr:row>15</xdr:row>
      <xdr:rowOff>0</xdr:rowOff>
    </xdr:to>
    <xdr:graphicFrame>
      <xdr:nvGraphicFramePr>
        <xdr:cNvPr id="1" name="グラフ 1"/>
        <xdr:cNvGraphicFramePr/>
      </xdr:nvGraphicFramePr>
      <xdr:xfrm>
        <a:off x="1905000" y="200025"/>
        <a:ext cx="498157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1</xdr:row>
      <xdr:rowOff>19050</xdr:rowOff>
    </xdr:from>
    <xdr:to>
      <xdr:col>1</xdr:col>
      <xdr:colOff>419100</xdr:colOff>
      <xdr:row>10</xdr:row>
      <xdr:rowOff>180975</xdr:rowOff>
    </xdr:to>
    <xdr:pic>
      <xdr:nvPicPr>
        <xdr:cNvPr id="2" name="Picture 4" descr="C:\データファィル\スピーカーネットワーク\設計プログラム\３ｗａｙ１８ｄＢ／ｏｃｔ\３ｗａｙ１８ｄＢ／ｏｃｔ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09550"/>
          <a:ext cx="1876425" cy="18764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19050</xdr:colOff>
      <xdr:row>11</xdr:row>
      <xdr:rowOff>9525</xdr:rowOff>
    </xdr:from>
    <xdr:to>
      <xdr:col>1</xdr:col>
      <xdr:colOff>419100</xdr:colOff>
      <xdr:row>15</xdr:row>
      <xdr:rowOff>0</xdr:rowOff>
    </xdr:to>
    <xdr:pic>
      <xdr:nvPicPr>
        <xdr:cNvPr id="3" name="Picture 10" descr="E:\データファィル\スピーカーネットワーク\設計プログラム\NetworkCircuitDsign\スピーカー補正回路\抵抗減衰器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2105025"/>
          <a:ext cx="1876425" cy="7524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</xdr:row>
      <xdr:rowOff>9525</xdr:rowOff>
    </xdr:from>
    <xdr:to>
      <xdr:col>8</xdr:col>
      <xdr:colOff>0</xdr:colOff>
      <xdr:row>15</xdr:row>
      <xdr:rowOff>0</xdr:rowOff>
    </xdr:to>
    <xdr:graphicFrame>
      <xdr:nvGraphicFramePr>
        <xdr:cNvPr id="1" name="グラフ 2"/>
        <xdr:cNvGraphicFramePr/>
      </xdr:nvGraphicFramePr>
      <xdr:xfrm>
        <a:off x="2619375" y="200025"/>
        <a:ext cx="421957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1333500</xdr:colOff>
      <xdr:row>8</xdr:row>
      <xdr:rowOff>0</xdr:rowOff>
    </xdr:to>
    <xdr:pic>
      <xdr:nvPicPr>
        <xdr:cNvPr id="2" name="Picture 37" descr="E:\データファィル\スピーカーネットワーク\設計プログラム\NetworkCircuitDsign\スピーカー補正回路\SeriesHighpass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0"/>
          <a:ext cx="1333500" cy="13335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1333500</xdr:colOff>
      <xdr:row>14</xdr:row>
      <xdr:rowOff>180975</xdr:rowOff>
    </xdr:to>
    <xdr:pic>
      <xdr:nvPicPr>
        <xdr:cNvPr id="3" name="Picture 38" descr="E:\データファィル\スピーカーネットワーク\設計プログラム\NetworkCircuitDsign\スピーカー補正回路\SeriesLowpass6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524000"/>
          <a:ext cx="1333500" cy="13239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1352550</xdr:colOff>
      <xdr:row>1</xdr:row>
      <xdr:rowOff>9525</xdr:rowOff>
    </xdr:from>
    <xdr:to>
      <xdr:col>2</xdr:col>
      <xdr:colOff>57150</xdr:colOff>
      <xdr:row>11</xdr:row>
      <xdr:rowOff>0</xdr:rowOff>
    </xdr:to>
    <xdr:pic>
      <xdr:nvPicPr>
        <xdr:cNvPr id="4" name="Picture 39" descr="E:\データファィル\スピーカーネットワーク\設計プログラム\NetworkCircuitDsign\スピーカー補正回路\SeriesBandpass6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52550" y="200025"/>
          <a:ext cx="1257300" cy="18954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1352550</xdr:colOff>
      <xdr:row>11</xdr:row>
      <xdr:rowOff>19050</xdr:rowOff>
    </xdr:from>
    <xdr:to>
      <xdr:col>2</xdr:col>
      <xdr:colOff>57150</xdr:colOff>
      <xdr:row>14</xdr:row>
      <xdr:rowOff>180975</xdr:rowOff>
    </xdr:to>
    <xdr:pic>
      <xdr:nvPicPr>
        <xdr:cNvPr id="5" name="Picture 40" descr="E:\データファィル\スピーカーネットワーク\設計プログラム\NetworkCircuitDsign\スピーカー補正回路\Attenuator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52550" y="2114550"/>
          <a:ext cx="1257300" cy="7334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</xdr:row>
      <xdr:rowOff>0</xdr:rowOff>
    </xdr:from>
    <xdr:to>
      <xdr:col>8</xdr:col>
      <xdr:colOff>0</xdr:colOff>
      <xdr:row>15</xdr:row>
      <xdr:rowOff>0</xdr:rowOff>
    </xdr:to>
    <xdr:graphicFrame>
      <xdr:nvGraphicFramePr>
        <xdr:cNvPr id="1" name="グラフ 2"/>
        <xdr:cNvGraphicFramePr/>
      </xdr:nvGraphicFramePr>
      <xdr:xfrm>
        <a:off x="2609850" y="190500"/>
        <a:ext cx="42291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19050</xdr:rowOff>
    </xdr:from>
    <xdr:to>
      <xdr:col>0</xdr:col>
      <xdr:colOff>1323975</xdr:colOff>
      <xdr:row>7</xdr:row>
      <xdr:rowOff>180975</xdr:rowOff>
    </xdr:to>
    <xdr:pic>
      <xdr:nvPicPr>
        <xdr:cNvPr id="2" name="Picture 37" descr="E:\データファィル\スピーカーネットワーク\設計プログラム\NetworkCircuitDsign\スピーカー補正回路\ParallelHighpass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9550"/>
          <a:ext cx="1323975" cy="1304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9525</xdr:colOff>
      <xdr:row>8</xdr:row>
      <xdr:rowOff>0</xdr:rowOff>
    </xdr:from>
    <xdr:to>
      <xdr:col>0</xdr:col>
      <xdr:colOff>1333500</xdr:colOff>
      <xdr:row>14</xdr:row>
      <xdr:rowOff>180975</xdr:rowOff>
    </xdr:to>
    <xdr:pic>
      <xdr:nvPicPr>
        <xdr:cNvPr id="3" name="Picture 38" descr="E:\データファィル\スピーカーネットワーク\設計プログラム\NetworkCircuitDsign\スピーカー補正回路\ParallelLowpass6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524000"/>
          <a:ext cx="1323975" cy="13239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1352550</xdr:colOff>
      <xdr:row>1</xdr:row>
      <xdr:rowOff>19050</xdr:rowOff>
    </xdr:from>
    <xdr:to>
      <xdr:col>2</xdr:col>
      <xdr:colOff>47625</xdr:colOff>
      <xdr:row>10</xdr:row>
      <xdr:rowOff>171450</xdr:rowOff>
    </xdr:to>
    <xdr:pic>
      <xdr:nvPicPr>
        <xdr:cNvPr id="4" name="Picture 39" descr="E:\データファィル\スピーカーネットワーク\設計プログラム\NetworkCircuitDsign\スピーカー補正回路\ParallelBandpass6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52550" y="209550"/>
          <a:ext cx="1247775" cy="18669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1343025</xdr:colOff>
      <xdr:row>11</xdr:row>
      <xdr:rowOff>9525</xdr:rowOff>
    </xdr:from>
    <xdr:to>
      <xdr:col>2</xdr:col>
      <xdr:colOff>47625</xdr:colOff>
      <xdr:row>14</xdr:row>
      <xdr:rowOff>180975</xdr:rowOff>
    </xdr:to>
    <xdr:pic>
      <xdr:nvPicPr>
        <xdr:cNvPr id="5" name="Picture 40" descr="E:\データファィル\スピーカーネットワーク\設計プログラム\NetworkCircuitDsign\スピーカー補正回路\Attenuator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43025" y="2105025"/>
          <a:ext cx="1257300" cy="742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8"/>
  <sheetViews>
    <sheetView tabSelected="1" zoomScalePageLayoutView="0" workbookViewId="0" topLeftCell="A1">
      <selection activeCell="A1" sqref="A1:F1"/>
    </sheetView>
  </sheetViews>
  <sheetFormatPr defaultColWidth="9.00390625" defaultRowHeight="13.5"/>
  <cols>
    <col min="1" max="1" width="19.375" style="0" customWidth="1"/>
    <col min="2" max="2" width="14.125" style="0" customWidth="1"/>
    <col min="3" max="4" width="5.875" style="0" customWidth="1"/>
    <col min="5" max="24" width="11.125" style="0" customWidth="1"/>
  </cols>
  <sheetData>
    <row r="1" spans="1:9" ht="15" customHeight="1">
      <c r="A1" s="88" t="s">
        <v>160</v>
      </c>
      <c r="B1" s="89"/>
      <c r="C1" s="89"/>
      <c r="D1" s="89"/>
      <c r="E1" s="89"/>
      <c r="F1" s="90"/>
      <c r="G1" s="34" t="s">
        <v>150</v>
      </c>
      <c r="H1" s="35" t="s">
        <v>149</v>
      </c>
      <c r="I1" s="65" t="s">
        <v>135</v>
      </c>
    </row>
    <row r="2" spans="1:16" ht="15" customHeight="1">
      <c r="A2" s="24"/>
      <c r="B2" s="25"/>
      <c r="C2" s="25"/>
      <c r="D2" s="25"/>
      <c r="E2" s="25"/>
      <c r="F2" s="25"/>
      <c r="G2" s="25"/>
      <c r="H2" s="26"/>
      <c r="I2" s="66" t="s">
        <v>136</v>
      </c>
      <c r="J2" s="1"/>
      <c r="K2" s="1"/>
      <c r="L2" s="1"/>
      <c r="M2" s="1"/>
      <c r="N2" s="1"/>
      <c r="O2" s="1"/>
      <c r="P2" s="1"/>
    </row>
    <row r="3" spans="1:16" ht="15" customHeight="1">
      <c r="A3" s="27"/>
      <c r="B3" s="28"/>
      <c r="C3" s="28"/>
      <c r="D3" s="28"/>
      <c r="E3" s="28"/>
      <c r="F3" s="28"/>
      <c r="G3" s="28"/>
      <c r="H3" s="29"/>
      <c r="I3" s="1" t="s">
        <v>138</v>
      </c>
      <c r="J3" s="1"/>
      <c r="K3" s="1"/>
      <c r="L3" s="1"/>
      <c r="M3" s="1"/>
      <c r="N3" s="1"/>
      <c r="O3" s="1"/>
      <c r="P3" s="1"/>
    </row>
    <row r="4" spans="1:16" ht="15" customHeight="1">
      <c r="A4" s="27"/>
      <c r="B4" s="28"/>
      <c r="C4" s="28"/>
      <c r="D4" s="28"/>
      <c r="E4" s="28"/>
      <c r="F4" s="28"/>
      <c r="G4" s="28"/>
      <c r="H4" s="29"/>
      <c r="I4" s="1" t="s">
        <v>139</v>
      </c>
      <c r="J4" s="1"/>
      <c r="K4" s="1"/>
      <c r="L4" s="1"/>
      <c r="M4" s="1"/>
      <c r="N4" s="1"/>
      <c r="O4" s="1"/>
      <c r="P4" s="1"/>
    </row>
    <row r="5" spans="1:16" ht="15" customHeight="1">
      <c r="A5" s="27"/>
      <c r="B5" s="28"/>
      <c r="C5" s="28"/>
      <c r="D5" s="28"/>
      <c r="E5" s="28"/>
      <c r="F5" s="28"/>
      <c r="G5" s="28"/>
      <c r="H5" s="29"/>
      <c r="I5" s="1" t="s">
        <v>140</v>
      </c>
      <c r="J5" s="1"/>
      <c r="K5" s="1"/>
      <c r="L5" s="1"/>
      <c r="M5" s="1"/>
      <c r="N5" s="1"/>
      <c r="O5" s="1"/>
      <c r="P5" s="1"/>
    </row>
    <row r="6" spans="1:16" ht="15" customHeight="1">
      <c r="A6" s="27"/>
      <c r="B6" s="28"/>
      <c r="C6" s="28"/>
      <c r="D6" s="28"/>
      <c r="E6" s="28"/>
      <c r="F6" s="28"/>
      <c r="G6" s="28"/>
      <c r="H6" s="29"/>
      <c r="I6" s="66" t="s">
        <v>137</v>
      </c>
      <c r="J6" s="1"/>
      <c r="K6" s="1"/>
      <c r="L6" s="1"/>
      <c r="M6" s="1"/>
      <c r="N6" s="1"/>
      <c r="O6" s="1"/>
      <c r="P6" s="1"/>
    </row>
    <row r="7" spans="1:16" ht="15" customHeight="1">
      <c r="A7" s="27"/>
      <c r="B7" s="28"/>
      <c r="C7" s="28"/>
      <c r="D7" s="28"/>
      <c r="E7" s="28"/>
      <c r="F7" s="28"/>
      <c r="G7" s="28"/>
      <c r="H7" s="29"/>
      <c r="I7" s="1" t="s">
        <v>141</v>
      </c>
      <c r="J7" s="1"/>
      <c r="K7" s="1"/>
      <c r="L7" s="1"/>
      <c r="M7" s="1"/>
      <c r="N7" s="1"/>
      <c r="O7" s="1"/>
      <c r="P7" s="1"/>
    </row>
    <row r="8" spans="1:16" ht="15" customHeight="1">
      <c r="A8" s="27"/>
      <c r="B8" s="28"/>
      <c r="C8" s="28"/>
      <c r="D8" s="28"/>
      <c r="E8" s="28"/>
      <c r="F8" s="28"/>
      <c r="G8" s="28"/>
      <c r="H8" s="29"/>
      <c r="I8" s="1" t="s">
        <v>142</v>
      </c>
      <c r="J8" s="1"/>
      <c r="K8" s="1"/>
      <c r="L8" s="1"/>
      <c r="M8" s="1"/>
      <c r="N8" s="1"/>
      <c r="O8" s="1"/>
      <c r="P8" s="1"/>
    </row>
    <row r="9" spans="1:16" ht="15" customHeight="1">
      <c r="A9" s="27"/>
      <c r="B9" s="28"/>
      <c r="C9" s="28"/>
      <c r="D9" s="28"/>
      <c r="E9" s="28"/>
      <c r="F9" s="28"/>
      <c r="G9" s="28"/>
      <c r="H9" s="29"/>
      <c r="I9" s="1" t="s">
        <v>143</v>
      </c>
      <c r="J9" s="1"/>
      <c r="K9" s="1"/>
      <c r="L9" s="1"/>
      <c r="M9" s="1"/>
      <c r="N9" s="1"/>
      <c r="O9" s="1"/>
      <c r="P9" s="1"/>
    </row>
    <row r="10" spans="1:16" ht="15" customHeight="1">
      <c r="A10" s="27"/>
      <c r="B10" s="28"/>
      <c r="C10" s="28"/>
      <c r="D10" s="28"/>
      <c r="E10" s="28"/>
      <c r="F10" s="28"/>
      <c r="G10" s="28"/>
      <c r="H10" s="29"/>
      <c r="I10" s="1" t="s">
        <v>144</v>
      </c>
      <c r="J10" s="1"/>
      <c r="K10" s="1"/>
      <c r="L10" s="1"/>
      <c r="M10" s="1"/>
      <c r="N10" s="1"/>
      <c r="O10" s="1"/>
      <c r="P10" s="1"/>
    </row>
    <row r="11" spans="1:16" ht="15" customHeight="1">
      <c r="A11" s="27"/>
      <c r="B11" s="28"/>
      <c r="C11" s="28"/>
      <c r="D11" s="28"/>
      <c r="E11" s="28"/>
      <c r="F11" s="28"/>
      <c r="G11" s="28"/>
      <c r="H11" s="29"/>
      <c r="I11" s="1" t="s">
        <v>145</v>
      </c>
      <c r="J11" s="1"/>
      <c r="K11" s="1"/>
      <c r="L11" s="1"/>
      <c r="M11" s="1"/>
      <c r="N11" s="1"/>
      <c r="O11" s="1"/>
      <c r="P11" s="1"/>
    </row>
    <row r="12" spans="1:16" ht="15" customHeight="1">
      <c r="A12" s="27"/>
      <c r="B12" s="28"/>
      <c r="C12" s="28"/>
      <c r="D12" s="28"/>
      <c r="E12" s="28"/>
      <c r="F12" s="28"/>
      <c r="G12" s="28"/>
      <c r="H12" s="29"/>
      <c r="I12" s="1" t="s">
        <v>147</v>
      </c>
      <c r="J12" s="1"/>
      <c r="K12" s="1"/>
      <c r="L12" s="1"/>
      <c r="M12" s="1"/>
      <c r="N12" s="1"/>
      <c r="O12" s="1"/>
      <c r="P12" s="1"/>
    </row>
    <row r="13" spans="1:16" ht="15" customHeight="1">
      <c r="A13" s="27"/>
      <c r="B13" s="28"/>
      <c r="C13" s="28"/>
      <c r="D13" s="28"/>
      <c r="E13" s="28"/>
      <c r="F13" s="28"/>
      <c r="G13" s="28"/>
      <c r="H13" s="29"/>
      <c r="I13" s="1" t="s">
        <v>146</v>
      </c>
      <c r="J13" s="1"/>
      <c r="K13" s="1"/>
      <c r="L13" s="1"/>
      <c r="M13" s="1"/>
      <c r="N13" s="1"/>
      <c r="O13" s="1"/>
      <c r="P13" s="1"/>
    </row>
    <row r="14" spans="1:16" ht="15" customHeight="1">
      <c r="A14" s="27"/>
      <c r="B14" s="28"/>
      <c r="C14" s="28"/>
      <c r="D14" s="28"/>
      <c r="E14" s="28"/>
      <c r="F14" s="28"/>
      <c r="G14" s="28"/>
      <c r="H14" s="29"/>
      <c r="I14" s="109" t="s">
        <v>218</v>
      </c>
      <c r="J14" s="1"/>
      <c r="K14" s="1"/>
      <c r="L14" s="1"/>
      <c r="M14" s="1"/>
      <c r="N14" s="1"/>
      <c r="O14" s="1"/>
      <c r="P14" s="1"/>
    </row>
    <row r="15" spans="1:16" ht="15" customHeight="1">
      <c r="A15" s="27"/>
      <c r="B15" s="28"/>
      <c r="C15" s="28"/>
      <c r="D15" s="28"/>
      <c r="E15" s="28"/>
      <c r="F15" s="28"/>
      <c r="G15" s="28"/>
      <c r="H15" s="29"/>
      <c r="I15" s="108" t="s">
        <v>219</v>
      </c>
      <c r="J15" s="1"/>
      <c r="K15" s="1"/>
      <c r="L15" s="1"/>
      <c r="M15" s="1"/>
      <c r="N15" s="1"/>
      <c r="O15" s="1"/>
      <c r="P15" s="1"/>
    </row>
    <row r="16" spans="1:16" ht="15" customHeight="1">
      <c r="A16" s="13" t="s">
        <v>92</v>
      </c>
      <c r="B16" s="12" t="s">
        <v>99</v>
      </c>
      <c r="C16" s="13" t="s">
        <v>80</v>
      </c>
      <c r="D16" s="2" t="s">
        <v>130</v>
      </c>
      <c r="E16" s="18">
        <v>500</v>
      </c>
      <c r="F16" s="18">
        <v>4000</v>
      </c>
      <c r="G16" s="84" t="s">
        <v>217</v>
      </c>
      <c r="H16" s="85"/>
      <c r="I16" s="110" t="s">
        <v>220</v>
      </c>
      <c r="J16" s="1"/>
      <c r="K16" s="1"/>
      <c r="L16" s="1"/>
      <c r="M16" s="1"/>
      <c r="N16" s="1"/>
      <c r="O16" s="1"/>
      <c r="P16" s="1"/>
    </row>
    <row r="17" spans="1:16" ht="15" customHeight="1">
      <c r="A17" s="39" t="s">
        <v>93</v>
      </c>
      <c r="B17" s="12" t="s">
        <v>100</v>
      </c>
      <c r="C17" s="13"/>
      <c r="D17" s="2" t="s">
        <v>128</v>
      </c>
      <c r="E17" s="23">
        <v>-3.0102999566398125</v>
      </c>
      <c r="F17" s="36"/>
      <c r="G17" s="43" t="s">
        <v>113</v>
      </c>
      <c r="H17" s="44"/>
      <c r="I17" s="108" t="s">
        <v>221</v>
      </c>
      <c r="J17" s="1"/>
      <c r="K17" s="1"/>
      <c r="L17" s="1"/>
      <c r="M17" s="1"/>
      <c r="N17" s="1"/>
      <c r="O17" s="1"/>
      <c r="P17" s="1"/>
    </row>
    <row r="18" spans="1:16" ht="15" customHeight="1">
      <c r="A18" s="93" t="s">
        <v>94</v>
      </c>
      <c r="B18" s="12" t="s">
        <v>101</v>
      </c>
      <c r="C18" s="13" t="s">
        <v>172</v>
      </c>
      <c r="D18" s="2" t="s">
        <v>131</v>
      </c>
      <c r="E18" s="3">
        <f>$H$21*10^3/(2*PI()*$E$16)</f>
        <v>1.9098593171027443</v>
      </c>
      <c r="F18" s="3">
        <f>$H$21*10^3/(2*PI()*($F$16-E16))</f>
        <v>0.27283704530039204</v>
      </c>
      <c r="G18" s="3"/>
      <c r="H18" s="3"/>
      <c r="I18" s="108" t="s">
        <v>222</v>
      </c>
      <c r="J18" s="1"/>
      <c r="K18" s="1"/>
      <c r="L18" s="1"/>
      <c r="M18" s="1"/>
      <c r="N18" s="1"/>
      <c r="O18" s="1"/>
      <c r="P18" s="1"/>
    </row>
    <row r="19" spans="1:16" ht="15" customHeight="1">
      <c r="A19" s="94"/>
      <c r="B19" s="12" t="s">
        <v>102</v>
      </c>
      <c r="C19" s="13" t="s">
        <v>173</v>
      </c>
      <c r="D19" s="67" t="s">
        <v>132</v>
      </c>
      <c r="E19" s="3">
        <f>10^6/((2*PI()*($E$16*F16)^0.5)^2*F$18*10^(-3))</f>
        <v>46.42019173513613</v>
      </c>
      <c r="F19" s="3">
        <f>10^6/(2*PI()*$F$16*$H$21)</f>
        <v>6.631455962162306</v>
      </c>
      <c r="G19" s="3"/>
      <c r="H19" s="3"/>
      <c r="I19" s="108" t="s">
        <v>223</v>
      </c>
      <c r="J19" s="1"/>
      <c r="K19" s="1"/>
      <c r="L19" s="1"/>
      <c r="M19" s="1"/>
      <c r="N19" s="1"/>
      <c r="O19" s="1"/>
      <c r="P19" s="1"/>
    </row>
    <row r="20" spans="1:16" ht="12" customHeight="1">
      <c r="A20" s="33" t="s">
        <v>95</v>
      </c>
      <c r="B20" s="91" t="s">
        <v>103</v>
      </c>
      <c r="C20" s="92"/>
      <c r="D20" s="33" t="s">
        <v>111</v>
      </c>
      <c r="E20" s="2" t="s">
        <v>148</v>
      </c>
      <c r="F20" s="2" t="s">
        <v>151</v>
      </c>
      <c r="G20" s="2" t="s">
        <v>155</v>
      </c>
      <c r="H20" s="2" t="s">
        <v>152</v>
      </c>
      <c r="I20" s="108" t="s">
        <v>224</v>
      </c>
      <c r="J20" s="1"/>
      <c r="K20" s="1"/>
      <c r="L20" s="1"/>
      <c r="M20" s="1"/>
      <c r="N20" s="1"/>
      <c r="O20" s="1"/>
      <c r="P20" s="1"/>
    </row>
    <row r="21" spans="1:16" ht="12" customHeight="1">
      <c r="A21" s="13" t="s">
        <v>96</v>
      </c>
      <c r="B21" s="16" t="s">
        <v>182</v>
      </c>
      <c r="C21" s="17" t="s">
        <v>75</v>
      </c>
      <c r="D21" s="2" t="s">
        <v>127</v>
      </c>
      <c r="E21" s="46">
        <v>6</v>
      </c>
      <c r="F21" s="46">
        <v>6</v>
      </c>
      <c r="G21" s="46">
        <v>6</v>
      </c>
      <c r="H21" s="19">
        <v>6</v>
      </c>
      <c r="I21" s="108" t="s">
        <v>225</v>
      </c>
      <c r="J21" s="1"/>
      <c r="K21" s="1"/>
      <c r="L21" s="1"/>
      <c r="M21" s="1"/>
      <c r="N21" s="1"/>
      <c r="O21" s="1"/>
      <c r="P21" s="1"/>
    </row>
    <row r="22" spans="1:16" ht="12" customHeight="1">
      <c r="A22" s="12" t="s">
        <v>97</v>
      </c>
      <c r="B22" s="16" t="s">
        <v>182</v>
      </c>
      <c r="C22" s="13" t="s">
        <v>86</v>
      </c>
      <c r="D22" s="2" t="s">
        <v>133</v>
      </c>
      <c r="E22" s="46">
        <v>91</v>
      </c>
      <c r="F22" s="46">
        <v>91</v>
      </c>
      <c r="G22" s="46">
        <v>91</v>
      </c>
      <c r="H22" s="8">
        <v>91</v>
      </c>
      <c r="I22" s="1"/>
      <c r="J22" s="1"/>
      <c r="K22" s="1"/>
      <c r="L22" s="1"/>
      <c r="M22" s="1"/>
      <c r="N22" s="1"/>
      <c r="O22" s="1"/>
      <c r="P22" s="1"/>
    </row>
    <row r="23" spans="1:16" ht="12" customHeight="1">
      <c r="A23" s="95" t="s">
        <v>98</v>
      </c>
      <c r="B23" s="12" t="s">
        <v>107</v>
      </c>
      <c r="C23" s="13" t="s">
        <v>87</v>
      </c>
      <c r="D23" s="2" t="s">
        <v>134</v>
      </c>
      <c r="E23" s="8">
        <v>6</v>
      </c>
      <c r="F23" s="8">
        <v>6</v>
      </c>
      <c r="G23" s="8">
        <v>6</v>
      </c>
      <c r="H23" s="23"/>
      <c r="I23" s="1"/>
      <c r="J23" s="1"/>
      <c r="K23" s="1"/>
      <c r="L23" s="1"/>
      <c r="M23" s="1"/>
      <c r="N23" s="1"/>
      <c r="O23" s="1"/>
      <c r="P23" s="1"/>
    </row>
    <row r="24" spans="1:16" ht="12" customHeight="1">
      <c r="A24" s="96"/>
      <c r="B24" s="12" t="s">
        <v>104</v>
      </c>
      <c r="C24" s="13" t="s">
        <v>85</v>
      </c>
      <c r="D24" s="2" t="s">
        <v>133</v>
      </c>
      <c r="E24" s="8">
        <v>91</v>
      </c>
      <c r="F24" s="8">
        <v>91</v>
      </c>
      <c r="G24" s="8">
        <v>91</v>
      </c>
      <c r="H24" s="14"/>
      <c r="I24" s="1"/>
      <c r="J24" s="1"/>
      <c r="K24" s="1"/>
      <c r="L24" s="1"/>
      <c r="M24" s="1"/>
      <c r="N24" s="1"/>
      <c r="O24" s="1"/>
      <c r="P24" s="1"/>
    </row>
    <row r="25" spans="1:16" ht="12" customHeight="1">
      <c r="A25" s="96"/>
      <c r="B25" s="12" t="s">
        <v>105</v>
      </c>
      <c r="C25" s="13" t="s">
        <v>12</v>
      </c>
      <c r="D25" s="2"/>
      <c r="E25" s="9">
        <v>1</v>
      </c>
      <c r="F25" s="9">
        <v>1</v>
      </c>
      <c r="G25" s="9">
        <v>1</v>
      </c>
      <c r="H25" s="14"/>
      <c r="I25" s="1"/>
      <c r="J25" s="1"/>
      <c r="K25" s="1"/>
      <c r="L25" s="1"/>
      <c r="M25" s="1"/>
      <c r="N25" s="1"/>
      <c r="O25" s="1"/>
      <c r="P25" s="1"/>
    </row>
    <row r="26" spans="1:16" ht="12" customHeight="1">
      <c r="A26" s="96"/>
      <c r="B26" s="12" t="s">
        <v>106</v>
      </c>
      <c r="C26" s="13" t="s">
        <v>153</v>
      </c>
      <c r="D26" s="2" t="s">
        <v>134</v>
      </c>
      <c r="E26" s="14" t="str">
        <f>IF(E$21*E$22*E$23*E$24=0,"",IF(E$25=0,"",IF(E$22&gt;E$24+10*LOG(E$21/E$23),"Unable",IF(E$23/(10^((E$22-E$24-10*LOG(E$21/E$23))/20))-E$21=0,"Blank",IF(E$25=0,"",E$21*E$23/ABS(E$23/(10^((E$22-E$24-10*LOG(E$21/E$23))/20))-E$21))))))</f>
        <v>Blank</v>
      </c>
      <c r="F26" s="14" t="str">
        <f>IF(F$21*F$22*F$23*F$24=0,"",IF(F$25=0,"",IF(F$22&gt;F$24+10*LOG(F$21/F$23),"Unable",IF(F$23/(10^((F$22-F$24-10*LOG(F$21/F$23))/20))-F$21=0,"Blank",IF(F$25=0,"",F$21*F$23/ABS(F$23/(10^((F$22-F$24-10*LOG(F$21/F$23))/20))-F$21))))))</f>
        <v>Blank</v>
      </c>
      <c r="G26" s="14" t="str">
        <f>IF(G$21*G$22*G$23*G$24=0,"",IF(G$25=0,"",IF(G$22&gt;G$24+10*LOG(G$21/G$23),"Unable",IF(G$23/(10^((G$22-G$24-10*LOG(G$21/G$23))/20))-G$21=0,"Blank",IF(G$25=0,"",G$21*G$23/ABS(G$23/(10^((G$22-G$24-10*LOG(G$21/G$23))/20))-G$21))))))</f>
        <v>Blank</v>
      </c>
      <c r="H26" s="23"/>
      <c r="I26" s="1"/>
      <c r="J26" s="1"/>
      <c r="K26" s="1"/>
      <c r="L26" s="1"/>
      <c r="M26" s="1"/>
      <c r="N26" s="1"/>
      <c r="O26" s="1"/>
      <c r="P26" s="1"/>
    </row>
    <row r="27" spans="1:16" ht="12" customHeight="1">
      <c r="A27" s="96"/>
      <c r="B27" s="12" t="s">
        <v>108</v>
      </c>
      <c r="C27" s="13" t="s">
        <v>154</v>
      </c>
      <c r="D27" s="2" t="s">
        <v>134</v>
      </c>
      <c r="E27" s="14">
        <f>IF(E$21*E$22*E$23*E$24=0,"",IF(E$25=0,"",IF(E$24+E$30&lt;E$22,"Unable",IF(E$26="Unable","Unable",IF(E$26="Blank",E$21-E$23,E$21-E$26*E$23/(E$26+E$23))))))</f>
        <v>0</v>
      </c>
      <c r="F27" s="14">
        <f>IF(F$21*F$22*F$23*F$24=0,"",IF(F$25=0,"",IF(F$24+F$30&lt;F$22,"Unable",IF(F$26="Unable","Unable",IF(F$26="Blank",F$21-F$23,F$21-F$26*F$23/(F$26+F$23))))))</f>
        <v>0</v>
      </c>
      <c r="G27" s="14">
        <f>IF(G$21*G$22*G$23*G$24=0,"",IF(G$25=0,"",IF(G$24+G$30&lt;G$22,"Unable",IF(G$26="Unable","Unable",IF(G$26="Blank",G$21-G$23,G$21-G$26*G$23/(G$26+G$23))))))</f>
        <v>0</v>
      </c>
      <c r="H27" s="14"/>
      <c r="I27" s="1"/>
      <c r="J27" s="1"/>
      <c r="K27" s="1"/>
      <c r="L27" s="1"/>
      <c r="M27" s="1"/>
      <c r="N27" s="1"/>
      <c r="O27" s="1"/>
      <c r="P27" s="1"/>
    </row>
    <row r="28" spans="1:16" ht="12" customHeight="1">
      <c r="A28" s="96"/>
      <c r="B28" s="12" t="s">
        <v>109</v>
      </c>
      <c r="C28" s="22" t="s">
        <v>76</v>
      </c>
      <c r="D28" s="2" t="s">
        <v>134</v>
      </c>
      <c r="E28" s="23">
        <f>IF(E$21*E$22*E$23*E$24=0,"",IF(E$25=1,E$21,E$23))</f>
        <v>6</v>
      </c>
      <c r="F28" s="23">
        <f>IF(F$21*F$22*F$23*F$24=0,"",IF(F$25=1,F$21,F$23))</f>
        <v>6</v>
      </c>
      <c r="G28" s="23">
        <f>IF(G$21*G$22*G$23*G$24=0,"",IF(G$25=1,G$21,G$23))</f>
        <v>6</v>
      </c>
      <c r="H28" s="14"/>
      <c r="I28" s="1"/>
      <c r="J28" s="1"/>
      <c r="K28" s="1"/>
      <c r="L28" s="1"/>
      <c r="M28" s="1"/>
      <c r="N28" s="1"/>
      <c r="O28" s="1"/>
      <c r="P28" s="1"/>
    </row>
    <row r="29" spans="1:16" ht="12" customHeight="1">
      <c r="A29" s="96"/>
      <c r="B29" s="12" t="s">
        <v>110</v>
      </c>
      <c r="C29" s="13" t="s">
        <v>77</v>
      </c>
      <c r="D29" s="2" t="s">
        <v>112</v>
      </c>
      <c r="E29" s="14">
        <f>IF(E$21*E$22*E$23*E$24=0,"",10^(E$30/20))</f>
        <v>1</v>
      </c>
      <c r="F29" s="14">
        <f>IF(F$21*F$22*F$23*F$24=0,"",10^(F$30/20))</f>
        <v>1</v>
      </c>
      <c r="G29" s="14">
        <f>IF(G$21*G$22*G$23*G$24=0,"",10^(G$30/20))</f>
        <v>1</v>
      </c>
      <c r="H29" s="14"/>
      <c r="I29" s="73" t="s">
        <v>210</v>
      </c>
      <c r="J29" s="74"/>
      <c r="K29" s="74"/>
      <c r="L29" s="75"/>
      <c r="M29" s="76"/>
      <c r="N29" s="1"/>
      <c r="O29" s="1"/>
      <c r="P29" s="1"/>
    </row>
    <row r="30" spans="1:16" ht="12" customHeight="1">
      <c r="A30" s="97"/>
      <c r="B30" s="12" t="s">
        <v>110</v>
      </c>
      <c r="C30" s="13" t="s">
        <v>77</v>
      </c>
      <c r="D30" s="2" t="s">
        <v>125</v>
      </c>
      <c r="E30" s="14">
        <f>IF(E$21*E$22*E$23*E$24=0,"",IF(E$25=1,0,E$24-E$22+10*LOG(E$21/E$23)))</f>
        <v>0</v>
      </c>
      <c r="F30" s="14">
        <f>IF(F$21*F$22*F$23*F$24=0,"",IF(F$25=1,0,F$24-F$22+10*LOG(F$21/F$23)))</f>
        <v>0</v>
      </c>
      <c r="G30" s="14">
        <f>IF(G$21*G$22*G$23*G$24=0,"",IF(G$25=1,0,G$24-G$22+10*LOG(G$21/G$23)))</f>
        <v>0</v>
      </c>
      <c r="H30" s="14"/>
      <c r="I30" s="2" t="s">
        <v>211</v>
      </c>
      <c r="J30" s="2" t="s">
        <v>212</v>
      </c>
      <c r="K30" s="2" t="s">
        <v>213</v>
      </c>
      <c r="L30" s="2" t="s">
        <v>214</v>
      </c>
      <c r="M30" s="77"/>
      <c r="N30" s="1"/>
      <c r="O30" s="1"/>
      <c r="P30" s="1"/>
    </row>
    <row r="31" spans="1:13" ht="12" customHeight="1">
      <c r="A31" s="81" t="s">
        <v>114</v>
      </c>
      <c r="B31" s="4">
        <v>20</v>
      </c>
      <c r="C31" s="5" t="s">
        <v>130</v>
      </c>
      <c r="D31" s="68" t="s">
        <v>129</v>
      </c>
      <c r="E31" s="3">
        <f>6/(E141^2+E163^2)^0.5/$H$21</f>
        <v>6.002091450248347</v>
      </c>
      <c r="F31" s="6"/>
      <c r="G31" s="58" t="s">
        <v>158</v>
      </c>
      <c r="H31" s="3">
        <f>10*LOG((10^((IF($H$17=0,0,E185)+E$22-H$22+E$30+20*LOG(E$28/(E97^2+E$28^2)^0.5))/20))^2+(10^((IF($H$17=0,0,F185)+F$22-H$22+F$30+20*LOG(F$28/((F97-E119)^2+F$28^2)^0.5))/20))^2+(10^((IF($H$17=0,0,G185)+G$22-H$22+G$30+20*LOG(G$28/(F119^2+G$28^2)^0.5))/20))^2)+$L31</f>
        <v>-0.0015135800821669126</v>
      </c>
      <c r="I31" s="71"/>
      <c r="J31" s="71"/>
      <c r="K31" s="71"/>
      <c r="L31" s="72">
        <v>0</v>
      </c>
      <c r="M31" s="78" t="s">
        <v>215</v>
      </c>
    </row>
    <row r="32" spans="1:13" ht="12" customHeight="1">
      <c r="A32" s="86"/>
      <c r="B32" s="4">
        <v>30</v>
      </c>
      <c r="C32" s="5" t="s">
        <v>130</v>
      </c>
      <c r="D32" s="68" t="s">
        <v>129</v>
      </c>
      <c r="E32" s="3">
        <f aca="true" t="shared" si="0" ref="E32:E52">6/(E142^2+E164^2)^0.5/$H$21</f>
        <v>6.004681798147781</v>
      </c>
      <c r="F32" s="6"/>
      <c r="G32" s="3">
        <f>IF(ABS($H76-$H75)&gt;180,ABS(360-ABS($H76-$H75))/($B98-$B97),ABS($H76-$H75)/($B98-$B97))*10</f>
        <v>0.0037859031191380963</v>
      </c>
      <c r="H32" s="3">
        <f aca="true" t="shared" si="1" ref="H32:H52">10*LOG((10^((IF($H$17=0,0,E186)+E$22-H$22+E$30+20*LOG(E$28/(E98^2+E$28^2)^0.5))/20))^2+(10^((IF($H$17=0,0,F186)+F$22-H$22+F$30+20*LOG(F$28/((F98-E120)^2+F$28^2)^0.5))/20))^2+(10^((IF($H$17=0,0,G186)+G$22-H$22+G$30+20*LOG(G$28/(F120^2+G$28^2)^0.5))/20))^2)+$L32</f>
        <v>-0.0033874962418130776</v>
      </c>
      <c r="I32" s="71"/>
      <c r="J32" s="71"/>
      <c r="K32" s="71"/>
      <c r="L32" s="72">
        <v>0</v>
      </c>
      <c r="M32" s="79"/>
    </row>
    <row r="33" spans="1:13" ht="12" customHeight="1">
      <c r="A33" s="86"/>
      <c r="B33" s="4">
        <v>40</v>
      </c>
      <c r="C33" s="5" t="s">
        <v>130</v>
      </c>
      <c r="D33" s="68" t="s">
        <v>129</v>
      </c>
      <c r="E33" s="3">
        <f t="shared" si="0"/>
        <v>6.008263787202876</v>
      </c>
      <c r="F33" s="6"/>
      <c r="G33" s="3">
        <f aca="true" t="shared" si="2" ref="G33:G52">IF(ABS($H77-$H76)&gt;180,ABS(360-ABS($H77-$H76))/($B99-$B98),ABS($H77-$H76)/($B99-$B98))*10</f>
        <v>0.007330218598520743</v>
      </c>
      <c r="H33" s="3">
        <f t="shared" si="1"/>
        <v>-0.0059775202104562835</v>
      </c>
      <c r="I33" s="71"/>
      <c r="J33" s="71"/>
      <c r="K33" s="71"/>
      <c r="L33" s="72">
        <v>0</v>
      </c>
      <c r="M33" s="79"/>
    </row>
    <row r="34" spans="1:13" ht="12" customHeight="1">
      <c r="A34" s="86"/>
      <c r="B34" s="4">
        <v>50</v>
      </c>
      <c r="C34" s="5" t="s">
        <v>130</v>
      </c>
      <c r="D34" s="68" t="s">
        <v>129</v>
      </c>
      <c r="E34" s="3">
        <f t="shared" si="0"/>
        <v>6.01279345122401</v>
      </c>
      <c r="F34" s="6"/>
      <c r="G34" s="3">
        <f t="shared" si="2"/>
        <v>0.011992464434847243</v>
      </c>
      <c r="H34" s="3">
        <f t="shared" si="1"/>
        <v>-0.009250754148555765</v>
      </c>
      <c r="I34" s="71"/>
      <c r="J34" s="71"/>
      <c r="K34" s="71"/>
      <c r="L34" s="72">
        <v>0</v>
      </c>
      <c r="M34" s="79"/>
    </row>
    <row r="35" spans="1:13" ht="12" customHeight="1">
      <c r="A35" s="86"/>
      <c r="B35" s="4">
        <v>70</v>
      </c>
      <c r="C35" s="5" t="s">
        <v>130</v>
      </c>
      <c r="D35" s="68" t="s">
        <v>129</v>
      </c>
      <c r="E35" s="3">
        <f t="shared" si="0"/>
        <v>6.024461491790508</v>
      </c>
      <c r="F35" s="6"/>
      <c r="G35" s="3">
        <f t="shared" si="2"/>
        <v>0.02108210918254943</v>
      </c>
      <c r="H35" s="3">
        <f t="shared" si="1"/>
        <v>-0.017672781526973838</v>
      </c>
      <c r="I35" s="71"/>
      <c r="J35" s="71"/>
      <c r="K35" s="71"/>
      <c r="L35" s="72">
        <v>0</v>
      </c>
      <c r="M35" s="79"/>
    </row>
    <row r="36" spans="1:13" ht="12" customHeight="1">
      <c r="A36" s="86"/>
      <c r="B36" s="4">
        <v>100</v>
      </c>
      <c r="C36" s="5" t="s">
        <v>130</v>
      </c>
      <c r="D36" s="68" t="s">
        <v>129</v>
      </c>
      <c r="E36" s="3">
        <f t="shared" si="0"/>
        <v>6.047327051803421</v>
      </c>
      <c r="F36" s="6"/>
      <c r="G36" s="3">
        <f t="shared" si="2"/>
        <v>0.04082251548240734</v>
      </c>
      <c r="H36" s="3">
        <f t="shared" si="1"/>
        <v>-0.03414577754223438</v>
      </c>
      <c r="I36" s="71"/>
      <c r="J36" s="71"/>
      <c r="K36" s="71"/>
      <c r="L36" s="72">
        <v>0</v>
      </c>
      <c r="M36" s="79"/>
    </row>
    <row r="37" spans="1:13" ht="12" customHeight="1">
      <c r="A37" s="86"/>
      <c r="B37" s="4">
        <v>150</v>
      </c>
      <c r="C37" s="5" t="s">
        <v>130</v>
      </c>
      <c r="D37" s="68" t="s">
        <v>129</v>
      </c>
      <c r="E37" s="3">
        <f t="shared" si="0"/>
        <v>6.093034634672147</v>
      </c>
      <c r="F37" s="6"/>
      <c r="G37" s="3">
        <f t="shared" si="2"/>
        <v>0.08111370289198101</v>
      </c>
      <c r="H37" s="3">
        <f t="shared" si="1"/>
        <v>-0.06705807297519605</v>
      </c>
      <c r="I37" s="71"/>
      <c r="J37" s="71"/>
      <c r="K37" s="71"/>
      <c r="L37" s="72">
        <v>0</v>
      </c>
      <c r="M37" s="79"/>
    </row>
    <row r="38" spans="1:13" ht="12" customHeight="1">
      <c r="A38" s="82" t="s">
        <v>167</v>
      </c>
      <c r="B38" s="4">
        <v>200</v>
      </c>
      <c r="C38" s="5" t="s">
        <v>130</v>
      </c>
      <c r="D38" s="68" t="s">
        <v>129</v>
      </c>
      <c r="E38" s="3">
        <f t="shared" si="0"/>
        <v>6.135422841774674</v>
      </c>
      <c r="F38" s="6"/>
      <c r="G38" s="3">
        <f t="shared" si="2"/>
        <v>0.13636739088640684</v>
      </c>
      <c r="H38" s="3">
        <f t="shared" si="1"/>
        <v>-0.09801081931325792</v>
      </c>
      <c r="I38" s="71"/>
      <c r="J38" s="71"/>
      <c r="K38" s="71"/>
      <c r="L38" s="72">
        <v>0</v>
      </c>
      <c r="M38" s="79"/>
    </row>
    <row r="39" spans="1:13" ht="12" customHeight="1">
      <c r="A39" s="86"/>
      <c r="B39" s="4">
        <v>300</v>
      </c>
      <c r="C39" s="5" t="s">
        <v>130</v>
      </c>
      <c r="D39" s="68" t="s">
        <v>129</v>
      </c>
      <c r="E39" s="3">
        <f t="shared" si="0"/>
        <v>6.156695845992551</v>
      </c>
      <c r="F39" s="6"/>
      <c r="G39" s="3">
        <f t="shared" si="2"/>
        <v>0.1991584233283343</v>
      </c>
      <c r="H39" s="3">
        <f t="shared" si="1"/>
        <v>-0.11903410471125522</v>
      </c>
      <c r="I39" s="71"/>
      <c r="J39" s="71"/>
      <c r="K39" s="71"/>
      <c r="L39" s="72">
        <v>0</v>
      </c>
      <c r="M39" s="79"/>
    </row>
    <row r="40" spans="1:13" ht="12" customHeight="1">
      <c r="A40" s="86"/>
      <c r="B40" s="4">
        <v>400</v>
      </c>
      <c r="C40" s="5" t="s">
        <v>130</v>
      </c>
      <c r="D40" s="68" t="s">
        <v>129</v>
      </c>
      <c r="E40" s="3">
        <f t="shared" si="0"/>
        <v>6.056338629137824</v>
      </c>
      <c r="F40" s="6"/>
      <c r="G40" s="3">
        <f t="shared" si="2"/>
        <v>0.2123754640983438</v>
      </c>
      <c r="H40" s="3">
        <f t="shared" si="1"/>
        <v>-0.05984933481209863</v>
      </c>
      <c r="I40" s="71"/>
      <c r="J40" s="71"/>
      <c r="K40" s="71"/>
      <c r="L40" s="72">
        <v>0</v>
      </c>
      <c r="M40" s="79"/>
    </row>
    <row r="41" spans="1:13" ht="12" customHeight="1">
      <c r="A41" s="86"/>
      <c r="B41" s="4">
        <v>500</v>
      </c>
      <c r="C41" s="5" t="s">
        <v>130</v>
      </c>
      <c r="D41" s="68" t="s">
        <v>129</v>
      </c>
      <c r="E41" s="3">
        <f t="shared" si="0"/>
        <v>5.866155068827198</v>
      </c>
      <c r="F41" s="6"/>
      <c r="G41" s="3">
        <f t="shared" si="2"/>
        <v>0.15191430514647514</v>
      </c>
      <c r="H41" s="3">
        <f t="shared" si="1"/>
        <v>0.06630516343228178</v>
      </c>
      <c r="I41" s="71"/>
      <c r="J41" s="71"/>
      <c r="K41" s="71"/>
      <c r="L41" s="72">
        <v>0</v>
      </c>
      <c r="M41" s="79"/>
    </row>
    <row r="42" spans="1:13" ht="12" customHeight="1">
      <c r="A42" s="86"/>
      <c r="B42" s="4">
        <v>700</v>
      </c>
      <c r="C42" s="5" t="s">
        <v>130</v>
      </c>
      <c r="D42" s="68" t="s">
        <v>129</v>
      </c>
      <c r="E42" s="3">
        <f t="shared" si="0"/>
        <v>5.446381277520146</v>
      </c>
      <c r="F42" s="6"/>
      <c r="G42" s="3">
        <f t="shared" si="2"/>
        <v>0.028631442871038804</v>
      </c>
      <c r="H42" s="3">
        <f t="shared" si="1"/>
        <v>0.38327873224296594</v>
      </c>
      <c r="I42" s="71"/>
      <c r="J42" s="71"/>
      <c r="K42" s="71"/>
      <c r="L42" s="72">
        <v>0</v>
      </c>
      <c r="M42" s="79"/>
    </row>
    <row r="43" spans="1:13" ht="12" customHeight="1">
      <c r="A43" s="86"/>
      <c r="B43" s="4" t="s">
        <v>31</v>
      </c>
      <c r="C43" s="5" t="s">
        <v>130</v>
      </c>
      <c r="D43" s="68" t="s">
        <v>129</v>
      </c>
      <c r="E43" s="3">
        <f t="shared" si="0"/>
        <v>5.05253439910903</v>
      </c>
      <c r="F43" s="6"/>
      <c r="G43" s="3">
        <f t="shared" si="2"/>
        <v>0.08933927175944072</v>
      </c>
      <c r="H43" s="3">
        <f t="shared" si="1"/>
        <v>0.7311382230279151</v>
      </c>
      <c r="I43" s="71"/>
      <c r="J43" s="71"/>
      <c r="K43" s="71"/>
      <c r="L43" s="72">
        <v>0</v>
      </c>
      <c r="M43" s="79"/>
    </row>
    <row r="44" spans="1:13" ht="12" customHeight="1">
      <c r="A44" s="86"/>
      <c r="B44" s="4" t="s">
        <v>32</v>
      </c>
      <c r="C44" s="5" t="s">
        <v>130</v>
      </c>
      <c r="D44" s="68" t="s">
        <v>129</v>
      </c>
      <c r="E44" s="3">
        <f t="shared" si="0"/>
        <v>4.913324363143277</v>
      </c>
      <c r="F44" s="6"/>
      <c r="G44" s="3">
        <f t="shared" si="2"/>
        <v>0.11366312958993151</v>
      </c>
      <c r="H44" s="3">
        <f t="shared" si="1"/>
        <v>0.8672464925345885</v>
      </c>
      <c r="I44" s="71"/>
      <c r="J44" s="71"/>
      <c r="K44" s="71"/>
      <c r="L44" s="72">
        <v>0</v>
      </c>
      <c r="M44" s="79"/>
    </row>
    <row r="45" spans="1:13" ht="12" customHeight="1">
      <c r="A45" s="86"/>
      <c r="B45" s="4" t="s">
        <v>33</v>
      </c>
      <c r="C45" s="5" t="s">
        <v>130</v>
      </c>
      <c r="D45" s="68" t="s">
        <v>129</v>
      </c>
      <c r="E45" s="3">
        <f t="shared" si="0"/>
        <v>5.052533035019781</v>
      </c>
      <c r="F45" s="6"/>
      <c r="G45" s="3">
        <f t="shared" si="2"/>
        <v>0.07848363772339113</v>
      </c>
      <c r="H45" s="3">
        <f t="shared" si="1"/>
        <v>0.7311395211684881</v>
      </c>
      <c r="I45" s="71"/>
      <c r="J45" s="71"/>
      <c r="K45" s="71"/>
      <c r="L45" s="72">
        <v>0</v>
      </c>
      <c r="M45" s="79"/>
    </row>
    <row r="46" spans="1:13" ht="12" customHeight="1">
      <c r="A46" s="82" t="s">
        <v>115</v>
      </c>
      <c r="B46" s="4" t="s">
        <v>34</v>
      </c>
      <c r="C46" s="5" t="s">
        <v>130</v>
      </c>
      <c r="D46" s="68" t="s">
        <v>129</v>
      </c>
      <c r="E46" s="3">
        <f t="shared" si="0"/>
        <v>5.510355655302853</v>
      </c>
      <c r="F46" s="6"/>
      <c r="G46" s="3">
        <f t="shared" si="2"/>
        <v>0.027800009749770763</v>
      </c>
      <c r="H46" s="3">
        <f t="shared" si="1"/>
        <v>0.33156236187011634</v>
      </c>
      <c r="I46" s="71"/>
      <c r="J46" s="71"/>
      <c r="K46" s="71"/>
      <c r="L46" s="72">
        <v>0</v>
      </c>
      <c r="M46" s="79"/>
    </row>
    <row r="47" spans="1:13" ht="12" customHeight="1">
      <c r="A47" s="86"/>
      <c r="B47" s="4" t="s">
        <v>35</v>
      </c>
      <c r="C47" s="5" t="s">
        <v>130</v>
      </c>
      <c r="D47" s="68" t="s">
        <v>129</v>
      </c>
      <c r="E47" s="3">
        <f t="shared" si="0"/>
        <v>5.866153264297226</v>
      </c>
      <c r="F47" s="6"/>
      <c r="G47" s="3">
        <f t="shared" si="2"/>
        <v>0.0067242272263072864</v>
      </c>
      <c r="H47" s="3">
        <f t="shared" si="1"/>
        <v>0.06630641454906444</v>
      </c>
      <c r="I47" s="71"/>
      <c r="J47" s="71"/>
      <c r="K47" s="71"/>
      <c r="L47" s="72">
        <v>0</v>
      </c>
      <c r="M47" s="79"/>
    </row>
    <row r="48" spans="1:13" ht="12" customHeight="1">
      <c r="A48" s="86"/>
      <c r="B48" s="4" t="s">
        <v>36</v>
      </c>
      <c r="C48" s="5" t="s">
        <v>130</v>
      </c>
      <c r="D48" s="68" t="s">
        <v>129</v>
      </c>
      <c r="E48" s="3">
        <f t="shared" si="0"/>
        <v>6.0563375783360875</v>
      </c>
      <c r="F48" s="6"/>
      <c r="G48" s="3">
        <f t="shared" si="2"/>
        <v>0.015191394039748668</v>
      </c>
      <c r="H48" s="3">
        <f t="shared" si="1"/>
        <v>-0.05984867345918768</v>
      </c>
      <c r="I48" s="71"/>
      <c r="J48" s="71"/>
      <c r="K48" s="71"/>
      <c r="L48" s="72">
        <v>0</v>
      </c>
      <c r="M48" s="79"/>
    </row>
    <row r="49" spans="1:13" ht="12" customHeight="1">
      <c r="A49" s="86"/>
      <c r="B49" s="4" t="s">
        <v>37</v>
      </c>
      <c r="C49" s="5" t="s">
        <v>130</v>
      </c>
      <c r="D49" s="68" t="s">
        <v>129</v>
      </c>
      <c r="E49" s="3">
        <f t="shared" si="0"/>
        <v>6.160887132248891</v>
      </c>
      <c r="F49" s="6"/>
      <c r="G49" s="3">
        <f t="shared" si="2"/>
        <v>0.012189206339645979</v>
      </c>
      <c r="H49" s="3">
        <f t="shared" si="1"/>
        <v>-0.12069562526880731</v>
      </c>
      <c r="I49" s="71"/>
      <c r="J49" s="71"/>
      <c r="K49" s="71"/>
      <c r="L49" s="72">
        <v>0</v>
      </c>
      <c r="M49" s="79"/>
    </row>
    <row r="50" spans="1:13" ht="12" customHeight="1">
      <c r="A50" s="86"/>
      <c r="B50" s="4" t="s">
        <v>38</v>
      </c>
      <c r="C50" s="5" t="s">
        <v>130</v>
      </c>
      <c r="D50" s="68" t="s">
        <v>129</v>
      </c>
      <c r="E50" s="3">
        <f t="shared" si="0"/>
        <v>6.1354230830481065</v>
      </c>
      <c r="F50" s="6"/>
      <c r="G50" s="3">
        <f t="shared" si="2"/>
        <v>0.005591683308971904</v>
      </c>
      <c r="H50" s="3">
        <f t="shared" si="1"/>
        <v>-0.09801099938277433</v>
      </c>
      <c r="I50" s="71"/>
      <c r="J50" s="71"/>
      <c r="K50" s="71"/>
      <c r="L50" s="72">
        <v>0</v>
      </c>
      <c r="M50" s="79"/>
    </row>
    <row r="51" spans="1:13" ht="12" customHeight="1">
      <c r="A51" s="86"/>
      <c r="B51" s="4" t="s">
        <v>39</v>
      </c>
      <c r="C51" s="5" t="s">
        <v>130</v>
      </c>
      <c r="D51" s="68" t="s">
        <v>129</v>
      </c>
      <c r="E51" s="3">
        <f t="shared" si="0"/>
        <v>6.077412378837849</v>
      </c>
      <c r="F51" s="6"/>
      <c r="G51" s="3">
        <f t="shared" si="2"/>
        <v>0.001694998301312062</v>
      </c>
      <c r="H51" s="3">
        <f t="shared" si="1"/>
        <v>-0.05579643903111977</v>
      </c>
      <c r="I51" s="71"/>
      <c r="J51" s="71"/>
      <c r="K51" s="71"/>
      <c r="L51" s="72">
        <v>0</v>
      </c>
      <c r="M51" s="79"/>
    </row>
    <row r="52" spans="1:13" ht="12" customHeight="1">
      <c r="A52" s="87"/>
      <c r="B52" s="4" t="s">
        <v>40</v>
      </c>
      <c r="C52" s="5" t="s">
        <v>130</v>
      </c>
      <c r="D52" s="68" t="s">
        <v>129</v>
      </c>
      <c r="E52" s="3">
        <f t="shared" si="0"/>
        <v>6.047327194818915</v>
      </c>
      <c r="F52" s="6"/>
      <c r="G52" s="3">
        <f t="shared" si="2"/>
        <v>0.0004798217828172229</v>
      </c>
      <c r="H52" s="3">
        <f t="shared" si="1"/>
        <v>-0.034145880481325094</v>
      </c>
      <c r="I52" s="71"/>
      <c r="J52" s="71"/>
      <c r="K52" s="71"/>
      <c r="L52" s="72">
        <v>0</v>
      </c>
      <c r="M52" s="80"/>
    </row>
    <row r="53" spans="1:13" ht="12" customHeight="1">
      <c r="A53" s="81" t="s">
        <v>116</v>
      </c>
      <c r="B53" s="4">
        <v>20</v>
      </c>
      <c r="C53" s="5" t="s">
        <v>130</v>
      </c>
      <c r="D53" s="2" t="s">
        <v>128</v>
      </c>
      <c r="E53" s="7">
        <f>IF($H$17=0,0,E185)+E$22-$H$22+E$30+20*LOG(E$28/(E97^2+E$28^2)^0.5)+$I53</f>
        <v>-0.00694314694364987</v>
      </c>
      <c r="F53" s="3">
        <f>IF($H$17=0,0,F185)+F$22-$H$22+F$30+20*LOG(F$28/((F97-E119)^2+F$28^2)^0.5)+$J53</f>
        <v>-29.122228069510623</v>
      </c>
      <c r="G53" s="7">
        <f>IF($H$17=0,0,G185)+G$22-$H$22+G$30+20*LOG(G$28/(F119^2+G$28^2)^0.5)+$K53</f>
        <v>-46.02071582201975</v>
      </c>
      <c r="H53" s="7">
        <f>20*LOG(((10^(E53/20)*COS(3.14159*E75/180)+10^(F53/20)*COS(3.14159*F75/180)+10^(G53/20)*COS(3.14159*G75/180))^2+(10^(E53/20)*SIN(3.14159*E75/180)+10^(F53/20)*SIN(3.14159*F75/180)+10^(G53/20)*SIN(3.14159*G75/180))^2)^0.5)+$L53</f>
        <v>-0.0030266934911793784</v>
      </c>
      <c r="I53" s="72">
        <v>0</v>
      </c>
      <c r="J53" s="72">
        <v>0</v>
      </c>
      <c r="K53" s="72">
        <v>0</v>
      </c>
      <c r="L53" s="72">
        <v>0</v>
      </c>
      <c r="M53" s="78" t="s">
        <v>216</v>
      </c>
    </row>
    <row r="54" spans="1:13" ht="12" customHeight="1">
      <c r="A54" s="82"/>
      <c r="B54" s="4">
        <v>30</v>
      </c>
      <c r="C54" s="5" t="s">
        <v>130</v>
      </c>
      <c r="D54" s="2" t="s">
        <v>128</v>
      </c>
      <c r="E54" s="7">
        <f aca="true" t="shared" si="3" ref="E54:E74">IF($H$17=0,0,E186)+E$22-$H$22+E$30+20*LOG(E$28/(E98^2+E$28^2)^0.5)+$I54</f>
        <v>-0.015606500108516923</v>
      </c>
      <c r="F54" s="3">
        <f aca="true" t="shared" si="4" ref="F54:F74">IF($H$17=0,0,F186)+F$22-$H$22+F$30+20*LOG(F$28/((F98-E120)^2+F$28^2)^0.5)+$J54</f>
        <v>-25.604876251163663</v>
      </c>
      <c r="G54" s="7">
        <f aca="true" t="shared" si="5" ref="G54:G74">IF($H$17=0,0,G186)+G$22-$H$22+G$30+20*LOG(G$28/(F120^2+G$28^2)^0.5)+$K54</f>
        <v>-42.4990263521892</v>
      </c>
      <c r="H54" s="7">
        <f aca="true" t="shared" si="6" ref="H54:H74">20*LOG(((10^(E54/20)*COS(3.14159*E76/180)+10^(F54/20)*COS(3.14159*F76/180)+10^(G54/20)*COS(3.14159*G76/180))^2+(10^(E54/20)*SIN(3.14159*E76/180)+10^(F54/20)*SIN(3.14159*F76/180)+10^(G54/20)*SIN(3.14159*G76/180))^2)^0.5)+$L54</f>
        <v>-0.006774257745716766</v>
      </c>
      <c r="I54" s="72">
        <v>0</v>
      </c>
      <c r="J54" s="72">
        <v>0</v>
      </c>
      <c r="K54" s="72">
        <v>0</v>
      </c>
      <c r="L54" s="72">
        <v>0</v>
      </c>
      <c r="M54" s="79"/>
    </row>
    <row r="55" spans="1:13" ht="12" customHeight="1">
      <c r="A55" s="82"/>
      <c r="B55" s="4">
        <v>40</v>
      </c>
      <c r="C55" s="5" t="s">
        <v>130</v>
      </c>
      <c r="D55" s="2" t="s">
        <v>128</v>
      </c>
      <c r="E55" s="7">
        <f t="shared" si="3"/>
        <v>-0.02770623435594946</v>
      </c>
      <c r="F55" s="3">
        <f t="shared" si="4"/>
        <v>-23.11235740504006</v>
      </c>
      <c r="G55" s="7">
        <f t="shared" si="5"/>
        <v>-40.00044160869525</v>
      </c>
      <c r="H55" s="7">
        <f t="shared" si="6"/>
        <v>-0.011953896394202395</v>
      </c>
      <c r="I55" s="72">
        <v>0</v>
      </c>
      <c r="J55" s="72">
        <v>0</v>
      </c>
      <c r="K55" s="72">
        <v>0</v>
      </c>
      <c r="L55" s="72">
        <v>0</v>
      </c>
      <c r="M55" s="79"/>
    </row>
    <row r="56" spans="1:13" ht="12" customHeight="1">
      <c r="A56" s="82"/>
      <c r="B56" s="4">
        <v>50</v>
      </c>
      <c r="C56" s="5" t="s">
        <v>130</v>
      </c>
      <c r="D56" s="2" t="s">
        <v>128</v>
      </c>
      <c r="E56" s="7">
        <f t="shared" si="3"/>
        <v>-0.04321366518628702</v>
      </c>
      <c r="F56" s="3">
        <f t="shared" si="4"/>
        <v>-21.18218876375642</v>
      </c>
      <c r="G56" s="7">
        <f t="shared" si="5"/>
        <v>-38.06248560747194</v>
      </c>
      <c r="H56" s="7">
        <f t="shared" si="6"/>
        <v>-0.018499536335173608</v>
      </c>
      <c r="I56" s="72">
        <v>0</v>
      </c>
      <c r="J56" s="72">
        <v>0</v>
      </c>
      <c r="K56" s="72">
        <v>0</v>
      </c>
      <c r="L56" s="72">
        <v>0</v>
      </c>
      <c r="M56" s="79"/>
    </row>
    <row r="57" spans="1:13" ht="12" customHeight="1">
      <c r="A57" s="82"/>
      <c r="B57" s="4">
        <v>70</v>
      </c>
      <c r="C57" s="5" t="s">
        <v>130</v>
      </c>
      <c r="D57" s="2" t="s">
        <v>128</v>
      </c>
      <c r="E57" s="7">
        <f t="shared" si="3"/>
        <v>-0.08429812693814756</v>
      </c>
      <c r="F57" s="3">
        <f t="shared" si="4"/>
        <v>-18.28098187978098</v>
      </c>
      <c r="G57" s="7">
        <f t="shared" si="5"/>
        <v>-35.1405761839202</v>
      </c>
      <c r="H57" s="7">
        <f t="shared" si="6"/>
        <v>-0.03533801399165795</v>
      </c>
      <c r="I57" s="72">
        <v>0</v>
      </c>
      <c r="J57" s="72">
        <v>0</v>
      </c>
      <c r="K57" s="72">
        <v>0</v>
      </c>
      <c r="L57" s="72">
        <v>0</v>
      </c>
      <c r="M57" s="79"/>
    </row>
    <row r="58" spans="1:13" ht="12" customHeight="1">
      <c r="A58" s="82"/>
      <c r="B58" s="4">
        <v>100</v>
      </c>
      <c r="C58" s="5" t="s">
        <v>130</v>
      </c>
      <c r="D58" s="2" t="s">
        <v>128</v>
      </c>
      <c r="E58" s="7">
        <f t="shared" si="3"/>
        <v>-0.17033311080879368</v>
      </c>
      <c r="F58" s="3">
        <f t="shared" si="4"/>
        <v>-15.228014613364929</v>
      </c>
      <c r="G58" s="7">
        <f t="shared" si="5"/>
        <v>-32.04392065127066</v>
      </c>
      <c r="H58" s="7">
        <f t="shared" si="6"/>
        <v>-0.06824179598437088</v>
      </c>
      <c r="I58" s="72">
        <v>0</v>
      </c>
      <c r="J58" s="72">
        <v>0</v>
      </c>
      <c r="K58" s="72">
        <v>0</v>
      </c>
      <c r="L58" s="72">
        <v>0</v>
      </c>
      <c r="M58" s="79"/>
    </row>
    <row r="59" spans="1:13" ht="12" customHeight="1">
      <c r="A59" s="82"/>
      <c r="B59" s="4">
        <v>150</v>
      </c>
      <c r="C59" s="5" t="s">
        <v>130</v>
      </c>
      <c r="D59" s="2" t="s">
        <v>128</v>
      </c>
      <c r="E59" s="7">
        <f t="shared" si="3"/>
        <v>-0.37426437362742176</v>
      </c>
      <c r="F59" s="3">
        <f t="shared" si="4"/>
        <v>-11.814949350259008</v>
      </c>
      <c r="G59" s="7">
        <f t="shared" si="5"/>
        <v>-28.525484947804948</v>
      </c>
      <c r="H59" s="7">
        <f t="shared" si="6"/>
        <v>-0.1336444661657697</v>
      </c>
      <c r="I59" s="72">
        <v>0</v>
      </c>
      <c r="J59" s="72">
        <v>0</v>
      </c>
      <c r="K59" s="72">
        <v>0</v>
      </c>
      <c r="L59" s="72">
        <v>0</v>
      </c>
      <c r="M59" s="79"/>
    </row>
    <row r="60" spans="1:13" ht="12" customHeight="1">
      <c r="A60" s="82"/>
      <c r="B60" s="4">
        <v>200</v>
      </c>
      <c r="C60" s="5" t="s">
        <v>130</v>
      </c>
      <c r="D60" s="2" t="s">
        <v>128</v>
      </c>
      <c r="E60" s="7">
        <f t="shared" si="3"/>
        <v>-0.6445788803167893</v>
      </c>
      <c r="F60" s="3">
        <f t="shared" si="4"/>
        <v>-9.464529422432914</v>
      </c>
      <c r="G60" s="7">
        <f t="shared" si="5"/>
        <v>-26.03145104456614</v>
      </c>
      <c r="H60" s="7">
        <f t="shared" si="6"/>
        <v>-0.19386046853270636</v>
      </c>
      <c r="I60" s="72">
        <v>0</v>
      </c>
      <c r="J60" s="72">
        <v>0</v>
      </c>
      <c r="K60" s="72">
        <v>0</v>
      </c>
      <c r="L60" s="72">
        <v>0</v>
      </c>
      <c r="M60" s="79"/>
    </row>
    <row r="61" spans="1:13" ht="12" customHeight="1">
      <c r="A61" s="82"/>
      <c r="B61" s="4">
        <v>300</v>
      </c>
      <c r="C61" s="5" t="s">
        <v>130</v>
      </c>
      <c r="D61" s="2" t="s">
        <v>128</v>
      </c>
      <c r="E61" s="7">
        <f t="shared" si="3"/>
        <v>-1.335387141646267</v>
      </c>
      <c r="F61" s="3">
        <f t="shared" si="4"/>
        <v>-6.343704827660329</v>
      </c>
      <c r="G61" s="7">
        <f t="shared" si="5"/>
        <v>-22.52314264221942</v>
      </c>
      <c r="H61" s="7">
        <f t="shared" si="6"/>
        <v>-0.2239228928771361</v>
      </c>
      <c r="I61" s="72">
        <v>0</v>
      </c>
      <c r="J61" s="72">
        <v>0</v>
      </c>
      <c r="K61" s="72">
        <v>0</v>
      </c>
      <c r="L61" s="72">
        <v>0</v>
      </c>
      <c r="M61" s="79"/>
    </row>
    <row r="62" spans="1:13" ht="12" customHeight="1">
      <c r="A62" s="82"/>
      <c r="B62" s="4">
        <v>400</v>
      </c>
      <c r="C62" s="5" t="s">
        <v>130</v>
      </c>
      <c r="D62" s="2" t="s">
        <v>128</v>
      </c>
      <c r="E62" s="7">
        <f t="shared" si="3"/>
        <v>-2.1484356173915424</v>
      </c>
      <c r="F62" s="3">
        <f t="shared" si="4"/>
        <v>-4.357409324110347</v>
      </c>
      <c r="G62" s="7">
        <f t="shared" si="5"/>
        <v>-20.043221001846497</v>
      </c>
      <c r="H62" s="7">
        <f t="shared" si="6"/>
        <v>-0.08117117954351824</v>
      </c>
      <c r="I62" s="72">
        <v>0</v>
      </c>
      <c r="J62" s="72">
        <v>0</v>
      </c>
      <c r="K62" s="72">
        <v>0</v>
      </c>
      <c r="L62" s="72">
        <v>0</v>
      </c>
      <c r="M62" s="79"/>
    </row>
    <row r="63" spans="1:13" ht="12" customHeight="1">
      <c r="A63" s="82"/>
      <c r="B63" s="4">
        <v>500</v>
      </c>
      <c r="C63" s="5" t="s">
        <v>130</v>
      </c>
      <c r="D63" s="2" t="s">
        <v>128</v>
      </c>
      <c r="E63" s="7">
        <f t="shared" si="3"/>
        <v>-3.0102962883112565</v>
      </c>
      <c r="F63" s="3">
        <f t="shared" si="4"/>
        <v>-3.010304673065784</v>
      </c>
      <c r="G63" s="7">
        <f t="shared" si="5"/>
        <v>-18.129140790217168</v>
      </c>
      <c r="H63" s="7">
        <f t="shared" si="6"/>
        <v>0.19596106586285758</v>
      </c>
      <c r="I63" s="72">
        <v>0</v>
      </c>
      <c r="J63" s="72">
        <v>0</v>
      </c>
      <c r="K63" s="72">
        <v>0</v>
      </c>
      <c r="L63" s="72">
        <v>0</v>
      </c>
      <c r="M63" s="79"/>
    </row>
    <row r="64" spans="1:13" ht="12" customHeight="1">
      <c r="A64" s="82"/>
      <c r="B64" s="4">
        <v>700</v>
      </c>
      <c r="C64" s="5" t="s">
        <v>130</v>
      </c>
      <c r="D64" s="2" t="s">
        <v>128</v>
      </c>
      <c r="E64" s="7">
        <f t="shared" si="3"/>
        <v>-4.712912252531984</v>
      </c>
      <c r="F64" s="3">
        <f t="shared" si="4"/>
        <v>-1.3983485236162516</v>
      </c>
      <c r="G64" s="7">
        <f t="shared" si="5"/>
        <v>-15.27025287481174</v>
      </c>
      <c r="H64" s="7">
        <f t="shared" si="6"/>
        <v>0.8408702446784546</v>
      </c>
      <c r="I64" s="72">
        <v>0</v>
      </c>
      <c r="J64" s="72">
        <v>0</v>
      </c>
      <c r="K64" s="72">
        <v>0</v>
      </c>
      <c r="L64" s="72">
        <v>0</v>
      </c>
      <c r="M64" s="79"/>
    </row>
    <row r="65" spans="1:13" ht="12" customHeight="1">
      <c r="A65" s="82"/>
      <c r="B65" s="4" t="s">
        <v>31</v>
      </c>
      <c r="C65" s="5" t="s">
        <v>130</v>
      </c>
      <c r="D65" s="2" t="s">
        <v>128</v>
      </c>
      <c r="E65" s="7">
        <f t="shared" si="3"/>
        <v>-6.98969417403301</v>
      </c>
      <c r="F65" s="3">
        <f t="shared" si="4"/>
        <v>-0.34079955685538904</v>
      </c>
      <c r="G65" s="7">
        <f t="shared" si="5"/>
        <v>-12.304496118875047</v>
      </c>
      <c r="H65" s="7">
        <f t="shared" si="6"/>
        <v>1.4928444683248663</v>
      </c>
      <c r="I65" s="72">
        <v>0</v>
      </c>
      <c r="J65" s="72">
        <v>0</v>
      </c>
      <c r="K65" s="72">
        <v>0</v>
      </c>
      <c r="L65" s="72">
        <v>0</v>
      </c>
      <c r="M65" s="79"/>
    </row>
    <row r="66" spans="1:13" ht="12" customHeight="1">
      <c r="A66" s="82"/>
      <c r="B66" s="4" t="s">
        <v>32</v>
      </c>
      <c r="C66" s="5" t="s">
        <v>130</v>
      </c>
      <c r="D66" s="2" t="s">
        <v>128</v>
      </c>
      <c r="E66" s="7">
        <f t="shared" si="3"/>
        <v>-9.999993397006367</v>
      </c>
      <c r="F66" s="3">
        <f t="shared" si="4"/>
        <v>-0.009836516635318517</v>
      </c>
      <c r="G66" s="7">
        <f t="shared" si="5"/>
        <v>-9.09080993895244</v>
      </c>
      <c r="H66" s="7">
        <f t="shared" si="6"/>
        <v>1.7355209454497391</v>
      </c>
      <c r="I66" s="72">
        <v>0</v>
      </c>
      <c r="J66" s="72">
        <v>0</v>
      </c>
      <c r="K66" s="72">
        <v>0</v>
      </c>
      <c r="L66" s="72">
        <v>0</v>
      </c>
      <c r="M66" s="79"/>
    </row>
    <row r="67" spans="1:13" ht="12" customHeight="1">
      <c r="A67" s="82"/>
      <c r="B67" s="4" t="s">
        <v>33</v>
      </c>
      <c r="C67" s="5" t="s">
        <v>130</v>
      </c>
      <c r="D67" s="2" t="s">
        <v>128</v>
      </c>
      <c r="E67" s="7">
        <f t="shared" si="3"/>
        <v>-12.304482308691117</v>
      </c>
      <c r="F67" s="3">
        <f t="shared" si="4"/>
        <v>-0.3407962345941603</v>
      </c>
      <c r="G67" s="7">
        <f t="shared" si="5"/>
        <v>-6.989705912689351</v>
      </c>
      <c r="H67" s="7">
        <f t="shared" si="6"/>
        <v>1.4928468133482762</v>
      </c>
      <c r="I67" s="72">
        <v>0</v>
      </c>
      <c r="J67" s="72">
        <v>0</v>
      </c>
      <c r="K67" s="72">
        <v>0</v>
      </c>
      <c r="L67" s="72">
        <v>0</v>
      </c>
      <c r="M67" s="79"/>
    </row>
    <row r="68" spans="1:13" ht="12" customHeight="1">
      <c r="A68" s="82"/>
      <c r="B68" s="4" t="s">
        <v>34</v>
      </c>
      <c r="C68" s="5" t="s">
        <v>130</v>
      </c>
      <c r="D68" s="2" t="s">
        <v>128</v>
      </c>
      <c r="E68" s="7">
        <f t="shared" si="3"/>
        <v>-15.682010102298015</v>
      </c>
      <c r="F68" s="3">
        <f t="shared" si="4"/>
        <v>-1.597004881280832</v>
      </c>
      <c r="G68" s="7">
        <f t="shared" si="5"/>
        <v>-4.436979687791089</v>
      </c>
      <c r="H68" s="7">
        <f t="shared" si="6"/>
        <v>0.7394386074327597</v>
      </c>
      <c r="I68" s="72">
        <v>0</v>
      </c>
      <c r="J68" s="72">
        <v>0</v>
      </c>
      <c r="K68" s="72">
        <v>0</v>
      </c>
      <c r="L68" s="72">
        <v>0</v>
      </c>
      <c r="M68" s="79"/>
    </row>
    <row r="69" spans="1:13" ht="12" customHeight="1">
      <c r="A69" s="82"/>
      <c r="B69" s="4" t="s">
        <v>35</v>
      </c>
      <c r="C69" s="5" t="s">
        <v>130</v>
      </c>
      <c r="D69" s="2" t="s">
        <v>128</v>
      </c>
      <c r="E69" s="7">
        <f t="shared" si="3"/>
        <v>-18.129126342640134</v>
      </c>
      <c r="F69" s="3">
        <f t="shared" si="4"/>
        <v>-3.0102952402169385</v>
      </c>
      <c r="G69" s="7">
        <f t="shared" si="5"/>
        <v>-3.0103036249714688</v>
      </c>
      <c r="H69" s="7">
        <f t="shared" si="6"/>
        <v>0.19596373779022333</v>
      </c>
      <c r="I69" s="72">
        <v>0</v>
      </c>
      <c r="J69" s="72">
        <v>0</v>
      </c>
      <c r="K69" s="72">
        <v>0</v>
      </c>
      <c r="L69" s="72">
        <v>0</v>
      </c>
      <c r="M69" s="79"/>
    </row>
    <row r="70" spans="1:13" ht="12" customHeight="1">
      <c r="A70" s="82"/>
      <c r="B70" s="4" t="s">
        <v>36</v>
      </c>
      <c r="C70" s="5" t="s">
        <v>130</v>
      </c>
      <c r="D70" s="2" t="s">
        <v>128</v>
      </c>
      <c r="E70" s="7">
        <f t="shared" si="3"/>
        <v>-20.043206473806478</v>
      </c>
      <c r="F70" s="3">
        <f t="shared" si="4"/>
        <v>-4.357398414643738</v>
      </c>
      <c r="G70" s="7">
        <f t="shared" si="5"/>
        <v>-2.1484413435653655</v>
      </c>
      <c r="H70" s="7">
        <f t="shared" si="6"/>
        <v>-0.08116967250061356</v>
      </c>
      <c r="I70" s="72">
        <v>0</v>
      </c>
      <c r="J70" s="72">
        <v>0</v>
      </c>
      <c r="K70" s="72">
        <v>0</v>
      </c>
      <c r="L70" s="72">
        <v>0</v>
      </c>
      <c r="M70" s="79"/>
    </row>
    <row r="71" spans="1:13" ht="12" customHeight="1">
      <c r="A71" s="82"/>
      <c r="B71" s="4" t="s">
        <v>37</v>
      </c>
      <c r="C71" s="5" t="s">
        <v>130</v>
      </c>
      <c r="D71" s="2" t="s">
        <v>128</v>
      </c>
      <c r="E71" s="7">
        <f t="shared" si="3"/>
        <v>-22.94465496219768</v>
      </c>
      <c r="F71" s="3">
        <f t="shared" si="4"/>
        <v>-6.702575948044912</v>
      </c>
      <c r="G71" s="7">
        <f t="shared" si="5"/>
        <v>-1.2271745720916991</v>
      </c>
      <c r="H71" s="7">
        <f t="shared" si="6"/>
        <v>-0.2298341388269358</v>
      </c>
      <c r="I71" s="72">
        <v>0</v>
      </c>
      <c r="J71" s="72">
        <v>0</v>
      </c>
      <c r="K71" s="72">
        <v>0</v>
      </c>
      <c r="L71" s="72">
        <v>0</v>
      </c>
      <c r="M71" s="79"/>
    </row>
    <row r="72" spans="1:13" ht="12" customHeight="1">
      <c r="A72" s="82"/>
      <c r="B72" s="4" t="s">
        <v>38</v>
      </c>
      <c r="C72" s="5" t="s">
        <v>130</v>
      </c>
      <c r="D72" s="2" t="s">
        <v>128</v>
      </c>
      <c r="E72" s="7">
        <f t="shared" si="3"/>
        <v>-26.03143640783754</v>
      </c>
      <c r="F72" s="3">
        <f t="shared" si="4"/>
        <v>-9.464515877829442</v>
      </c>
      <c r="G72" s="7">
        <f t="shared" si="5"/>
        <v>-0.6445809042230548</v>
      </c>
      <c r="H72" s="7">
        <f t="shared" si="6"/>
        <v>-0.19386081009580286</v>
      </c>
      <c r="I72" s="72">
        <v>0</v>
      </c>
      <c r="J72" s="72">
        <v>0</v>
      </c>
      <c r="K72" s="72">
        <v>0</v>
      </c>
      <c r="L72" s="72">
        <v>0</v>
      </c>
      <c r="M72" s="79"/>
    </row>
    <row r="73" spans="1:13" ht="12" customHeight="1">
      <c r="A73" s="82"/>
      <c r="B73" s="4" t="s">
        <v>39</v>
      </c>
      <c r="C73" s="5" t="s">
        <v>130</v>
      </c>
      <c r="D73" s="2" t="s">
        <v>128</v>
      </c>
      <c r="E73" s="7">
        <f t="shared" si="3"/>
        <v>-29.547240581273222</v>
      </c>
      <c r="F73" s="3">
        <f t="shared" si="4"/>
        <v>-12.797179557752072</v>
      </c>
      <c r="G73" s="7">
        <f t="shared" si="5"/>
        <v>-0.2983457317166195</v>
      </c>
      <c r="H73" s="7">
        <f t="shared" si="6"/>
        <v>-0.11134602204931078</v>
      </c>
      <c r="I73" s="72">
        <v>0</v>
      </c>
      <c r="J73" s="72">
        <v>0</v>
      </c>
      <c r="K73" s="72">
        <v>0</v>
      </c>
      <c r="L73" s="72">
        <v>0</v>
      </c>
      <c r="M73" s="79"/>
    </row>
    <row r="74" spans="1:13" ht="12" customHeight="1">
      <c r="A74" s="83"/>
      <c r="B74" s="4" t="s">
        <v>40</v>
      </c>
      <c r="C74" s="5" t="s">
        <v>130</v>
      </c>
      <c r="D74" s="2" t="s">
        <v>128</v>
      </c>
      <c r="E74" s="7">
        <f t="shared" si="3"/>
        <v>-32.04390598711534</v>
      </c>
      <c r="F74" s="3">
        <f t="shared" si="4"/>
        <v>-15.22800023727754</v>
      </c>
      <c r="G74" s="7">
        <f t="shared" si="5"/>
        <v>-0.17033367516727188</v>
      </c>
      <c r="H74" s="7">
        <f t="shared" si="6"/>
        <v>-0.06824200139630165</v>
      </c>
      <c r="I74" s="72">
        <v>0</v>
      </c>
      <c r="J74" s="72">
        <v>0</v>
      </c>
      <c r="K74" s="72">
        <v>0</v>
      </c>
      <c r="L74" s="72">
        <v>0</v>
      </c>
      <c r="M74" s="80"/>
    </row>
    <row r="75" spans="1:8" ht="12" customHeight="1">
      <c r="A75" s="81" t="s">
        <v>117</v>
      </c>
      <c r="B75" s="4">
        <v>20</v>
      </c>
      <c r="C75" s="5" t="s">
        <v>130</v>
      </c>
      <c r="D75" s="2" t="s">
        <v>124</v>
      </c>
      <c r="E75" s="6">
        <f>IF($H$17=0,0,E207)+180/PI()*ATAN2(E$28,-E97)</f>
        <v>-2.29060810990392</v>
      </c>
      <c r="F75" s="6">
        <f>IF($H$17=0,0,F207)+180/PI()*ATAN2(F$28,(E119-F97))</f>
        <v>87.99506700090454</v>
      </c>
      <c r="G75" s="6">
        <f>IF($H$17=0,0,G207)+180/PI()*ATAN2(G$28,F119)</f>
        <v>89.71352373169525</v>
      </c>
      <c r="H75" s="6">
        <f>180/3.14159*ATAN2((10^(E53/20)*COS(PI()*E75/180)+10^(F53/20)*COS(PI()*F75/180)+10^(G53/20)*COS(PI()*G75/180)),(10^(E53/20)*SIN(PI()*E75/180)+10^(F53/20)*SIN(PI()*F75/180)+10^(G53/20)*SIN(PI()*G75/180)))</f>
        <v>0.0016005936391693392</v>
      </c>
    </row>
    <row r="76" spans="1:8" ht="12" customHeight="1">
      <c r="A76" s="82"/>
      <c r="B76" s="4">
        <v>30</v>
      </c>
      <c r="C76" s="5" t="s">
        <v>130</v>
      </c>
      <c r="D76" s="2" t="s">
        <v>124</v>
      </c>
      <c r="E76" s="6">
        <f aca="true" t="shared" si="7" ref="E76:E96">IF($H$17=0,0,E208)+180/PI()*ATAN2(E$28,-E98)</f>
        <v>-3.433627469126008</v>
      </c>
      <c r="F76" s="6">
        <f aca="true" t="shared" si="8" ref="F76:F96">IF($H$17=0,0,F208)+180/PI()*ATAN2(F$28,(E120-F98))</f>
        <v>86.99338267931188</v>
      </c>
      <c r="G76" s="6">
        <f aca="true" t="shared" si="9" ref="G76:G96">IF($H$17=0,0,G208)+180/PI()*ATAN2(G$28,F120)</f>
        <v>89.5702900735461</v>
      </c>
      <c r="H76" s="6">
        <f aca="true" t="shared" si="10" ref="H76:H96">180/3.14159*ATAN2((10^(E54/20)*COS(PI()*E76/180)+10^(F54/20)*COS(PI()*F76/180)+10^(G54/20)*COS(PI()*G76/180)),(10^(E54/20)*SIN(PI()*E76/180)+10^(F54/20)*SIN(PI()*F76/180)+10^(G54/20)*SIN(PI()*G76/180)))</f>
        <v>0.005386496758307435</v>
      </c>
    </row>
    <row r="77" spans="1:8" ht="12" customHeight="1">
      <c r="A77" s="82"/>
      <c r="B77" s="4">
        <v>40</v>
      </c>
      <c r="C77" s="5" t="s">
        <v>130</v>
      </c>
      <c r="D77" s="2" t="s">
        <v>124</v>
      </c>
      <c r="E77" s="6">
        <f t="shared" si="7"/>
        <v>-4.573917412867886</v>
      </c>
      <c r="F77" s="6">
        <f t="shared" si="8"/>
        <v>85.99263497629015</v>
      </c>
      <c r="G77" s="6">
        <f t="shared" si="9"/>
        <v>89.42706178622488</v>
      </c>
      <c r="H77" s="6">
        <f t="shared" si="10"/>
        <v>0.012716715356828178</v>
      </c>
    </row>
    <row r="78" spans="1:8" ht="12" customHeight="1">
      <c r="A78" s="82"/>
      <c r="B78" s="4">
        <v>50</v>
      </c>
      <c r="C78" s="5" t="s">
        <v>130</v>
      </c>
      <c r="D78" s="2" t="s">
        <v>124</v>
      </c>
      <c r="E78" s="6">
        <f t="shared" si="7"/>
        <v>-5.710588345848657</v>
      </c>
      <c r="F78" s="6">
        <f t="shared" si="8"/>
        <v>84.99313278540332</v>
      </c>
      <c r="G78" s="6">
        <f t="shared" si="9"/>
        <v>89.28384065938101</v>
      </c>
      <c r="H78" s="6">
        <f t="shared" si="10"/>
        <v>0.02470917979167542</v>
      </c>
    </row>
    <row r="79" spans="1:8" ht="12" customHeight="1">
      <c r="A79" s="82"/>
      <c r="B79" s="4">
        <v>70</v>
      </c>
      <c r="C79" s="5" t="s">
        <v>130</v>
      </c>
      <c r="D79" s="2" t="s">
        <v>124</v>
      </c>
      <c r="E79" s="6">
        <f t="shared" si="7"/>
        <v>-7.969603749171741</v>
      </c>
      <c r="F79" s="6">
        <f t="shared" si="8"/>
        <v>82.99908576657634</v>
      </c>
      <c r="G79" s="6">
        <f t="shared" si="9"/>
        <v>88.99742704290496</v>
      </c>
      <c r="H79" s="6">
        <f t="shared" si="10"/>
        <v>0.06687339815677427</v>
      </c>
    </row>
    <row r="80" spans="1:8" ht="12" customHeight="1">
      <c r="A80" s="82"/>
      <c r="B80" s="4">
        <v>100</v>
      </c>
      <c r="C80" s="5" t="s">
        <v>130</v>
      </c>
      <c r="D80" s="2" t="s">
        <v>124</v>
      </c>
      <c r="E80" s="6">
        <f t="shared" si="7"/>
        <v>-11.309923167159418</v>
      </c>
      <c r="F80" s="6">
        <f t="shared" si="8"/>
        <v>80.02488161892252</v>
      </c>
      <c r="G80" s="6">
        <f t="shared" si="9"/>
        <v>88.56790502497151</v>
      </c>
      <c r="H80" s="6">
        <f t="shared" si="10"/>
        <v>0.1893409446039963</v>
      </c>
    </row>
    <row r="81" spans="1:8" ht="12" customHeight="1">
      <c r="A81" s="82"/>
      <c r="B81" s="4">
        <v>150</v>
      </c>
      <c r="C81" s="5" t="s">
        <v>130</v>
      </c>
      <c r="D81" s="2" t="s">
        <v>124</v>
      </c>
      <c r="E81" s="6">
        <f t="shared" si="7"/>
        <v>-16.69923091408226</v>
      </c>
      <c r="F81" s="6">
        <f t="shared" si="8"/>
        <v>75.13173091706857</v>
      </c>
      <c r="G81" s="6">
        <f t="shared" si="9"/>
        <v>87.85241638399076</v>
      </c>
      <c r="H81" s="6">
        <f t="shared" si="10"/>
        <v>0.5949094590639014</v>
      </c>
    </row>
    <row r="82" spans="1:8" ht="12" customHeight="1">
      <c r="A82" s="82"/>
      <c r="B82" s="4">
        <v>200</v>
      </c>
      <c r="C82" s="5" t="s">
        <v>130</v>
      </c>
      <c r="D82" s="2" t="s">
        <v>124</v>
      </c>
      <c r="E82" s="6">
        <f t="shared" si="7"/>
        <v>-21.801392798186228</v>
      </c>
      <c r="F82" s="6">
        <f t="shared" si="8"/>
        <v>70.34619189656547</v>
      </c>
      <c r="G82" s="6">
        <f t="shared" si="9"/>
        <v>87.13759718763761</v>
      </c>
      <c r="H82" s="6">
        <f t="shared" si="10"/>
        <v>1.2767464134959357</v>
      </c>
    </row>
    <row r="83" spans="1:8" ht="12" customHeight="1">
      <c r="A83" s="82"/>
      <c r="B83" s="4">
        <v>300</v>
      </c>
      <c r="C83" s="5" t="s">
        <v>130</v>
      </c>
      <c r="D83" s="2" t="s">
        <v>124</v>
      </c>
      <c r="E83" s="6">
        <f t="shared" si="7"/>
        <v>-30.963735181035847</v>
      </c>
      <c r="F83" s="6">
        <f t="shared" si="8"/>
        <v>61.20074535245241</v>
      </c>
      <c r="G83" s="6">
        <f t="shared" si="9"/>
        <v>85.71085028055387</v>
      </c>
      <c r="H83" s="6">
        <f t="shared" si="10"/>
        <v>3.2683306467792788</v>
      </c>
    </row>
    <row r="84" spans="1:8" ht="12" customHeight="1">
      <c r="A84" s="82"/>
      <c r="B84" s="4">
        <v>400</v>
      </c>
      <c r="C84" s="5" t="s">
        <v>130</v>
      </c>
      <c r="D84" s="2" t="s">
        <v>124</v>
      </c>
      <c r="E84" s="6">
        <f t="shared" si="7"/>
        <v>-38.65978464643619</v>
      </c>
      <c r="F84" s="6">
        <f t="shared" si="8"/>
        <v>52.7336254764066</v>
      </c>
      <c r="G84" s="6">
        <f t="shared" si="9"/>
        <v>84.28941165415135</v>
      </c>
      <c r="H84" s="6">
        <f t="shared" si="10"/>
        <v>5.392085287762717</v>
      </c>
    </row>
    <row r="85" spans="1:8" ht="12" customHeight="1">
      <c r="A85" s="82"/>
      <c r="B85" s="4">
        <v>500</v>
      </c>
      <c r="C85" s="5" t="s">
        <v>130</v>
      </c>
      <c r="D85" s="2" t="s">
        <v>124</v>
      </c>
      <c r="E85" s="6">
        <f t="shared" si="7"/>
        <v>-44.9999758021525</v>
      </c>
      <c r="F85" s="6">
        <f t="shared" si="8"/>
        <v>45.00003111151157</v>
      </c>
      <c r="G85" s="6">
        <f t="shared" si="9"/>
        <v>82.874989607489</v>
      </c>
      <c r="H85" s="6">
        <f t="shared" si="10"/>
        <v>6.911228339227468</v>
      </c>
    </row>
    <row r="86" spans="1:8" ht="12" customHeight="1">
      <c r="A86" s="82"/>
      <c r="B86" s="4">
        <v>700</v>
      </c>
      <c r="C86" s="5" t="s">
        <v>130</v>
      </c>
      <c r="D86" s="2" t="s">
        <v>124</v>
      </c>
      <c r="E86" s="6">
        <f t="shared" si="7"/>
        <v>-54.46229931816674</v>
      </c>
      <c r="F86" s="6">
        <f t="shared" si="8"/>
        <v>31.646665438317147</v>
      </c>
      <c r="G86" s="6">
        <f t="shared" si="9"/>
        <v>80.07376271092818</v>
      </c>
      <c r="H86" s="6">
        <f t="shared" si="10"/>
        <v>7.483857196648244</v>
      </c>
    </row>
    <row r="87" spans="1:8" ht="12" customHeight="1">
      <c r="A87" s="82"/>
      <c r="B87" s="4" t="s">
        <v>21</v>
      </c>
      <c r="C87" s="5" t="s">
        <v>130</v>
      </c>
      <c r="D87" s="2" t="s">
        <v>124</v>
      </c>
      <c r="E87" s="6">
        <f t="shared" si="7"/>
        <v>-63.434929464639104</v>
      </c>
      <c r="F87" s="6">
        <f t="shared" si="8"/>
        <v>15.945434252226411</v>
      </c>
      <c r="G87" s="6">
        <f t="shared" si="9"/>
        <v>75.96376791929164</v>
      </c>
      <c r="H87" s="6">
        <f t="shared" si="10"/>
        <v>4.8036790438650225</v>
      </c>
    </row>
    <row r="88" spans="1:8" ht="12" customHeight="1">
      <c r="A88" s="82"/>
      <c r="B88" s="4" t="s">
        <v>22</v>
      </c>
      <c r="C88" s="5" t="s">
        <v>130</v>
      </c>
      <c r="D88" s="2" t="s">
        <v>124</v>
      </c>
      <c r="E88" s="6">
        <f t="shared" si="7"/>
        <v>-71.56503665836458</v>
      </c>
      <c r="F88" s="6">
        <f t="shared" si="8"/>
        <v>-2.72627190507538</v>
      </c>
      <c r="G88" s="6">
        <f t="shared" si="9"/>
        <v>69.44397069132489</v>
      </c>
      <c r="H88" s="6">
        <f t="shared" si="10"/>
        <v>-0.8794774356315525</v>
      </c>
    </row>
    <row r="89" spans="1:8" ht="12" customHeight="1">
      <c r="A89" s="82"/>
      <c r="B89" s="4" t="s">
        <v>23</v>
      </c>
      <c r="C89" s="5" t="s">
        <v>130</v>
      </c>
      <c r="D89" s="2" t="s">
        <v>124</v>
      </c>
      <c r="E89" s="6">
        <f t="shared" si="7"/>
        <v>-75.96374514484692</v>
      </c>
      <c r="F89" s="6">
        <f t="shared" si="8"/>
        <v>-15.945357549615434</v>
      </c>
      <c r="G89" s="6">
        <f t="shared" si="9"/>
        <v>63.43496818119512</v>
      </c>
      <c r="H89" s="6">
        <f t="shared" si="10"/>
        <v>-4.803659321801109</v>
      </c>
    </row>
    <row r="90" spans="1:8" ht="12" customHeight="1">
      <c r="A90" s="82"/>
      <c r="B90" s="4" t="s">
        <v>24</v>
      </c>
      <c r="C90" s="5" t="s">
        <v>130</v>
      </c>
      <c r="D90" s="2" t="s">
        <v>124</v>
      </c>
      <c r="E90" s="6">
        <f t="shared" si="7"/>
        <v>-80.5376699440207</v>
      </c>
      <c r="F90" s="6">
        <f t="shared" si="8"/>
        <v>-33.69003242580049</v>
      </c>
      <c r="G90" s="6">
        <f t="shared" si="9"/>
        <v>53.13012558408684</v>
      </c>
      <c r="H90" s="6">
        <f t="shared" si="10"/>
        <v>-7.583660296778185</v>
      </c>
    </row>
    <row r="91" spans="1:8" ht="12" customHeight="1">
      <c r="A91" s="82"/>
      <c r="B91" s="4" t="s">
        <v>25</v>
      </c>
      <c r="C91" s="5" t="s">
        <v>130</v>
      </c>
      <c r="D91" s="2" t="s">
        <v>124</v>
      </c>
      <c r="E91" s="6">
        <f t="shared" si="7"/>
        <v>-82.87497769470254</v>
      </c>
      <c r="F91" s="6">
        <f t="shared" si="8"/>
        <v>-44.99996888847511</v>
      </c>
      <c r="G91" s="6">
        <f t="shared" si="9"/>
        <v>45.000024197847516</v>
      </c>
      <c r="H91" s="6">
        <f t="shared" si="10"/>
        <v>-6.9112375741474565</v>
      </c>
    </row>
    <row r="92" spans="1:8" ht="12" customHeight="1">
      <c r="A92" s="82"/>
      <c r="B92" s="4" t="s">
        <v>26</v>
      </c>
      <c r="C92" s="5" t="s">
        <v>130</v>
      </c>
      <c r="D92" s="2" t="s">
        <v>124</v>
      </c>
      <c r="E92" s="6">
        <f t="shared" si="7"/>
        <v>-84.28940207084541</v>
      </c>
      <c r="F92" s="6">
        <f t="shared" si="8"/>
        <v>-52.733570721624446</v>
      </c>
      <c r="G92" s="6">
        <f t="shared" si="9"/>
        <v>38.65983186174839</v>
      </c>
      <c r="H92" s="6">
        <f t="shared" si="10"/>
        <v>-5.39209817017259</v>
      </c>
    </row>
    <row r="93" spans="1:8" ht="12" customHeight="1">
      <c r="A93" s="82"/>
      <c r="B93" s="4" t="s">
        <v>27</v>
      </c>
      <c r="C93" s="5" t="s">
        <v>130</v>
      </c>
      <c r="D93" s="2" t="s">
        <v>124</v>
      </c>
      <c r="E93" s="6">
        <f t="shared" si="7"/>
        <v>-85.91437978073571</v>
      </c>
      <c r="F93" s="6">
        <f t="shared" si="8"/>
        <v>-62.468001725802594</v>
      </c>
      <c r="G93" s="6">
        <f t="shared" si="9"/>
        <v>29.744902144323007</v>
      </c>
      <c r="H93" s="6">
        <f t="shared" si="10"/>
        <v>-2.9542569022433938</v>
      </c>
    </row>
    <row r="94" spans="1:8" ht="12" customHeight="1">
      <c r="A94" s="82"/>
      <c r="B94" s="4" t="s">
        <v>28</v>
      </c>
      <c r="C94" s="5" t="s">
        <v>130</v>
      </c>
      <c r="D94" s="2" t="s">
        <v>124</v>
      </c>
      <c r="E94" s="6">
        <f t="shared" si="7"/>
        <v>-87.13759236013688</v>
      </c>
      <c r="F94" s="6">
        <f t="shared" si="8"/>
        <v>-70.346159987316</v>
      </c>
      <c r="G94" s="6">
        <f t="shared" si="9"/>
        <v>21.801426174527613</v>
      </c>
      <c r="H94" s="6">
        <f t="shared" si="10"/>
        <v>-1.2767519095518227</v>
      </c>
    </row>
    <row r="95" spans="1:8" ht="12" customHeight="1">
      <c r="A95" s="82"/>
      <c r="B95" s="4" t="s">
        <v>29</v>
      </c>
      <c r="C95" s="5" t="s">
        <v>130</v>
      </c>
      <c r="D95" s="2" t="s">
        <v>124</v>
      </c>
      <c r="E95" s="6">
        <f t="shared" si="7"/>
        <v>-88.09084595560356</v>
      </c>
      <c r="F95" s="6">
        <f t="shared" si="8"/>
        <v>-76.75230891354202</v>
      </c>
      <c r="G95" s="6">
        <f t="shared" si="9"/>
        <v>14.931429226862715</v>
      </c>
      <c r="H95" s="6">
        <f t="shared" si="10"/>
        <v>-0.42925275889579173</v>
      </c>
    </row>
    <row r="96" spans="1:8" ht="12" customHeight="1">
      <c r="A96" s="83"/>
      <c r="B96" s="4" t="s">
        <v>30</v>
      </c>
      <c r="C96" s="5" t="s">
        <v>130</v>
      </c>
      <c r="D96" s="2" t="s">
        <v>124</v>
      </c>
      <c r="E96" s="6">
        <f t="shared" si="7"/>
        <v>-88.56790260669818</v>
      </c>
      <c r="F96" s="6">
        <f t="shared" si="8"/>
        <v>-80.02486494015338</v>
      </c>
      <c r="G96" s="6">
        <f t="shared" si="9"/>
        <v>11.309941780888268</v>
      </c>
      <c r="H96" s="6">
        <f t="shared" si="10"/>
        <v>-0.1893418674871803</v>
      </c>
    </row>
    <row r="97" spans="1:8" ht="12" customHeight="1">
      <c r="A97" s="81" t="s">
        <v>118</v>
      </c>
      <c r="B97" s="4">
        <v>20</v>
      </c>
      <c r="C97" s="5" t="s">
        <v>130</v>
      </c>
      <c r="D97" s="2" t="s">
        <v>127</v>
      </c>
      <c r="E97" s="6">
        <f aca="true" t="shared" si="11" ref="E97:F118">2*3.14159*$B97*E$18*0.001</f>
        <v>0.23999979728067242</v>
      </c>
      <c r="F97" s="6">
        <f t="shared" si="11"/>
        <v>0.03428568532581035</v>
      </c>
      <c r="G97" s="6"/>
      <c r="H97" s="6"/>
    </row>
    <row r="98" spans="1:8" ht="12" customHeight="1">
      <c r="A98" s="82"/>
      <c r="B98" s="4">
        <v>30</v>
      </c>
      <c r="C98" s="5" t="s">
        <v>130</v>
      </c>
      <c r="D98" s="2" t="s">
        <v>127</v>
      </c>
      <c r="E98" s="6">
        <f t="shared" si="11"/>
        <v>0.3599996959210086</v>
      </c>
      <c r="F98" s="6">
        <f t="shared" si="11"/>
        <v>0.051428527988715514</v>
      </c>
      <c r="G98" s="6"/>
      <c r="H98" s="6"/>
    </row>
    <row r="99" spans="1:8" ht="12" customHeight="1">
      <c r="A99" s="82"/>
      <c r="B99" s="4">
        <v>40</v>
      </c>
      <c r="C99" s="5" t="s">
        <v>130</v>
      </c>
      <c r="D99" s="2" t="s">
        <v>127</v>
      </c>
      <c r="E99" s="6">
        <f t="shared" si="11"/>
        <v>0.47999959456134483</v>
      </c>
      <c r="F99" s="6">
        <f t="shared" si="11"/>
        <v>0.0685713706516207</v>
      </c>
      <c r="G99" s="6"/>
      <c r="H99" s="6"/>
    </row>
    <row r="100" spans="1:8" ht="12" customHeight="1">
      <c r="A100" s="82"/>
      <c r="B100" s="4">
        <v>50</v>
      </c>
      <c r="C100" s="5" t="s">
        <v>130</v>
      </c>
      <c r="D100" s="2" t="s">
        <v>127</v>
      </c>
      <c r="E100" s="6">
        <f t="shared" si="11"/>
        <v>0.5999994932016811</v>
      </c>
      <c r="F100" s="6">
        <f t="shared" si="11"/>
        <v>0.08571421331452586</v>
      </c>
      <c r="G100" s="6"/>
      <c r="H100" s="6"/>
    </row>
    <row r="101" spans="1:8" ht="12" customHeight="1">
      <c r="A101" s="82"/>
      <c r="B101" s="4">
        <v>70</v>
      </c>
      <c r="C101" s="5" t="s">
        <v>130</v>
      </c>
      <c r="D101" s="2" t="s">
        <v>127</v>
      </c>
      <c r="E101" s="6">
        <f t="shared" si="11"/>
        <v>0.8399992904823533</v>
      </c>
      <c r="F101" s="6">
        <f t="shared" si="11"/>
        <v>0.1199998986403362</v>
      </c>
      <c r="G101" s="6"/>
      <c r="H101" s="6"/>
    </row>
    <row r="102" spans="1:8" ht="12" customHeight="1">
      <c r="A102" s="82"/>
      <c r="B102" s="4">
        <v>100</v>
      </c>
      <c r="C102" s="5" t="s">
        <v>130</v>
      </c>
      <c r="D102" s="2" t="s">
        <v>127</v>
      </c>
      <c r="E102" s="6">
        <f t="shared" si="11"/>
        <v>1.1999989864033622</v>
      </c>
      <c r="F102" s="6">
        <f t="shared" si="11"/>
        <v>0.17142842662905172</v>
      </c>
      <c r="G102" s="6"/>
      <c r="H102" s="6"/>
    </row>
    <row r="103" spans="1:8" ht="12" customHeight="1">
      <c r="A103" s="82"/>
      <c r="B103" s="4">
        <v>150</v>
      </c>
      <c r="C103" s="5" t="s">
        <v>130</v>
      </c>
      <c r="D103" s="2" t="s">
        <v>127</v>
      </c>
      <c r="E103" s="6">
        <f t="shared" si="11"/>
        <v>1.799998479605043</v>
      </c>
      <c r="F103" s="6">
        <f t="shared" si="11"/>
        <v>0.2571426399435776</v>
      </c>
      <c r="G103" s="6"/>
      <c r="H103" s="6"/>
    </row>
    <row r="104" spans="1:8" ht="12" customHeight="1">
      <c r="A104" s="82"/>
      <c r="B104" s="4">
        <v>200</v>
      </c>
      <c r="C104" s="5" t="s">
        <v>130</v>
      </c>
      <c r="D104" s="2" t="s">
        <v>127</v>
      </c>
      <c r="E104" s="6">
        <f t="shared" si="11"/>
        <v>2.3999979728067244</v>
      </c>
      <c r="F104" s="6">
        <f t="shared" si="11"/>
        <v>0.34285685325810344</v>
      </c>
      <c r="G104" s="6"/>
      <c r="H104" s="6"/>
    </row>
    <row r="105" spans="1:8" ht="12" customHeight="1">
      <c r="A105" s="82"/>
      <c r="B105" s="4">
        <v>300</v>
      </c>
      <c r="C105" s="5" t="s">
        <v>130</v>
      </c>
      <c r="D105" s="2" t="s">
        <v>127</v>
      </c>
      <c r="E105" s="6">
        <f t="shared" si="11"/>
        <v>3.599996959210086</v>
      </c>
      <c r="F105" s="6">
        <f t="shared" si="11"/>
        <v>0.5142852798871552</v>
      </c>
      <c r="G105" s="6"/>
      <c r="H105" s="6"/>
    </row>
    <row r="106" spans="1:8" ht="12" customHeight="1">
      <c r="A106" s="82"/>
      <c r="B106" s="4">
        <v>400</v>
      </c>
      <c r="C106" s="5" t="s">
        <v>130</v>
      </c>
      <c r="D106" s="2" t="s">
        <v>127</v>
      </c>
      <c r="E106" s="6">
        <f t="shared" si="11"/>
        <v>4.799995945613449</v>
      </c>
      <c r="F106" s="6">
        <f t="shared" si="11"/>
        <v>0.6857137065162069</v>
      </c>
      <c r="G106" s="6"/>
      <c r="H106" s="6"/>
    </row>
    <row r="107" spans="1:8" ht="12" customHeight="1">
      <c r="A107" s="82"/>
      <c r="B107" s="4">
        <v>500</v>
      </c>
      <c r="C107" s="5" t="s">
        <v>130</v>
      </c>
      <c r="D107" s="2" t="s">
        <v>127</v>
      </c>
      <c r="E107" s="6">
        <f t="shared" si="11"/>
        <v>5.99999493201681</v>
      </c>
      <c r="F107" s="6">
        <f t="shared" si="11"/>
        <v>0.8571421331452586</v>
      </c>
      <c r="G107" s="6"/>
      <c r="H107" s="6"/>
    </row>
    <row r="108" spans="1:8" ht="12" customHeight="1">
      <c r="A108" s="82"/>
      <c r="B108" s="4">
        <v>700</v>
      </c>
      <c r="C108" s="5" t="s">
        <v>130</v>
      </c>
      <c r="D108" s="2" t="s">
        <v>127</v>
      </c>
      <c r="E108" s="6">
        <f t="shared" si="11"/>
        <v>8.399992904823534</v>
      </c>
      <c r="F108" s="6">
        <f t="shared" si="11"/>
        <v>1.1999989864033622</v>
      </c>
      <c r="G108" s="6"/>
      <c r="H108" s="6"/>
    </row>
    <row r="109" spans="1:8" ht="12" customHeight="1">
      <c r="A109" s="82"/>
      <c r="B109" s="4">
        <v>1000</v>
      </c>
      <c r="C109" s="5" t="s">
        <v>130</v>
      </c>
      <c r="D109" s="2" t="s">
        <v>127</v>
      </c>
      <c r="E109" s="6">
        <f t="shared" si="11"/>
        <v>11.99998986403362</v>
      </c>
      <c r="F109" s="6">
        <f t="shared" si="11"/>
        <v>1.7142842662905171</v>
      </c>
      <c r="G109" s="6"/>
      <c r="H109" s="6"/>
    </row>
    <row r="110" spans="1:8" ht="12" customHeight="1">
      <c r="A110" s="82"/>
      <c r="B110" s="4">
        <v>1500</v>
      </c>
      <c r="C110" s="5" t="s">
        <v>130</v>
      </c>
      <c r="D110" s="2" t="s">
        <v>127</v>
      </c>
      <c r="E110" s="6">
        <f t="shared" si="11"/>
        <v>17.99998479605043</v>
      </c>
      <c r="F110" s="6">
        <f t="shared" si="11"/>
        <v>2.5714263994357762</v>
      </c>
      <c r="G110" s="6"/>
      <c r="H110" s="6"/>
    </row>
    <row r="111" spans="1:8" ht="12" customHeight="1">
      <c r="A111" s="82"/>
      <c r="B111" s="4">
        <v>2000</v>
      </c>
      <c r="C111" s="5" t="s">
        <v>130</v>
      </c>
      <c r="D111" s="2" t="s">
        <v>127</v>
      </c>
      <c r="E111" s="6">
        <f t="shared" si="11"/>
        <v>23.99997972806724</v>
      </c>
      <c r="F111" s="6">
        <f t="shared" si="11"/>
        <v>3.4285685325810342</v>
      </c>
      <c r="G111" s="6"/>
      <c r="H111" s="6"/>
    </row>
    <row r="112" spans="1:8" ht="12" customHeight="1">
      <c r="A112" s="82"/>
      <c r="B112" s="4">
        <v>3000</v>
      </c>
      <c r="C112" s="5" t="s">
        <v>130</v>
      </c>
      <c r="D112" s="2" t="s">
        <v>127</v>
      </c>
      <c r="E112" s="6">
        <f t="shared" si="11"/>
        <v>35.99996959210086</v>
      </c>
      <c r="F112" s="6">
        <f t="shared" si="11"/>
        <v>5.1428527988715524</v>
      </c>
      <c r="G112" s="6"/>
      <c r="H112" s="6"/>
    </row>
    <row r="113" spans="1:8" ht="12" customHeight="1">
      <c r="A113" s="82"/>
      <c r="B113" s="4">
        <v>4000</v>
      </c>
      <c r="C113" s="5" t="s">
        <v>130</v>
      </c>
      <c r="D113" s="2" t="s">
        <v>127</v>
      </c>
      <c r="E113" s="6">
        <f t="shared" si="11"/>
        <v>47.99995945613448</v>
      </c>
      <c r="F113" s="6">
        <f t="shared" si="11"/>
        <v>6.8571370651620684</v>
      </c>
      <c r="G113" s="6"/>
      <c r="H113" s="6"/>
    </row>
    <row r="114" spans="1:8" ht="12" customHeight="1">
      <c r="A114" s="82"/>
      <c r="B114" s="4">
        <v>5000</v>
      </c>
      <c r="C114" s="5" t="s">
        <v>130</v>
      </c>
      <c r="D114" s="2" t="s">
        <v>127</v>
      </c>
      <c r="E114" s="6">
        <f t="shared" si="11"/>
        <v>59.9999493201681</v>
      </c>
      <c r="F114" s="6">
        <f t="shared" si="11"/>
        <v>8.571421331452585</v>
      </c>
      <c r="G114" s="6"/>
      <c r="H114" s="6"/>
    </row>
    <row r="115" spans="1:8" ht="12" customHeight="1">
      <c r="A115" s="82"/>
      <c r="B115" s="4">
        <v>7000</v>
      </c>
      <c r="C115" s="5" t="s">
        <v>130</v>
      </c>
      <c r="D115" s="2" t="s">
        <v>127</v>
      </c>
      <c r="E115" s="6">
        <f t="shared" si="11"/>
        <v>83.99992904823534</v>
      </c>
      <c r="F115" s="6">
        <f t="shared" si="11"/>
        <v>11.99998986403362</v>
      </c>
      <c r="G115" s="6"/>
      <c r="H115" s="6"/>
    </row>
    <row r="116" spans="1:8" ht="12" customHeight="1">
      <c r="A116" s="82"/>
      <c r="B116" s="4">
        <v>10000</v>
      </c>
      <c r="C116" s="5" t="s">
        <v>130</v>
      </c>
      <c r="D116" s="2" t="s">
        <v>127</v>
      </c>
      <c r="E116" s="6">
        <f t="shared" si="11"/>
        <v>119.9998986403362</v>
      </c>
      <c r="F116" s="6">
        <f t="shared" si="11"/>
        <v>17.14284266290517</v>
      </c>
      <c r="G116" s="6"/>
      <c r="H116" s="6"/>
    </row>
    <row r="117" spans="1:8" ht="12" customHeight="1">
      <c r="A117" s="82"/>
      <c r="B117" s="4">
        <v>15000</v>
      </c>
      <c r="C117" s="5" t="s">
        <v>130</v>
      </c>
      <c r="D117" s="2" t="s">
        <v>127</v>
      </c>
      <c r="E117" s="6">
        <f t="shared" si="11"/>
        <v>179.9998479605043</v>
      </c>
      <c r="F117" s="6">
        <f t="shared" si="11"/>
        <v>25.71426399435776</v>
      </c>
      <c r="G117" s="6"/>
      <c r="H117" s="6"/>
    </row>
    <row r="118" spans="1:8" ht="12" customHeight="1">
      <c r="A118" s="83"/>
      <c r="B118" s="4">
        <v>20000</v>
      </c>
      <c r="C118" s="5" t="s">
        <v>130</v>
      </c>
      <c r="D118" s="2" t="s">
        <v>127</v>
      </c>
      <c r="E118" s="6">
        <f t="shared" si="11"/>
        <v>239.9997972806724</v>
      </c>
      <c r="F118" s="6">
        <f t="shared" si="11"/>
        <v>34.28568532581034</v>
      </c>
      <c r="G118" s="6"/>
      <c r="H118" s="6"/>
    </row>
    <row r="119" spans="1:8" ht="12" customHeight="1">
      <c r="A119" s="81" t="s">
        <v>119</v>
      </c>
      <c r="B119" s="4">
        <v>20</v>
      </c>
      <c r="C119" s="5" t="s">
        <v>130</v>
      </c>
      <c r="D119" s="2" t="s">
        <v>127</v>
      </c>
      <c r="E119" s="6">
        <f aca="true" t="shared" si="12" ref="E119:F140">1/(2*3.14159*$B97*E$19/1000000)</f>
        <v>171.4287162282135</v>
      </c>
      <c r="F119" s="6">
        <f t="shared" si="12"/>
        <v>1200.0010135974942</v>
      </c>
      <c r="G119" s="6"/>
      <c r="H119" s="6"/>
    </row>
    <row r="120" spans="1:8" ht="12" customHeight="1">
      <c r="A120" s="82"/>
      <c r="B120" s="4">
        <v>30</v>
      </c>
      <c r="C120" s="5" t="s">
        <v>130</v>
      </c>
      <c r="D120" s="2" t="s">
        <v>127</v>
      </c>
      <c r="E120" s="6">
        <f t="shared" si="12"/>
        <v>114.28581081880901</v>
      </c>
      <c r="F120" s="6">
        <f t="shared" si="12"/>
        <v>800.0006757316628</v>
      </c>
      <c r="G120" s="6"/>
      <c r="H120" s="6"/>
    </row>
    <row r="121" spans="1:8" ht="12" customHeight="1">
      <c r="A121" s="82"/>
      <c r="B121" s="4">
        <v>40</v>
      </c>
      <c r="C121" s="5" t="s">
        <v>130</v>
      </c>
      <c r="D121" s="2" t="s">
        <v>127</v>
      </c>
      <c r="E121" s="6">
        <f t="shared" si="12"/>
        <v>85.71435811410674</v>
      </c>
      <c r="F121" s="6">
        <f t="shared" si="12"/>
        <v>600.0005067987471</v>
      </c>
      <c r="G121" s="6"/>
      <c r="H121" s="6"/>
    </row>
    <row r="122" spans="1:8" ht="12" customHeight="1">
      <c r="A122" s="82"/>
      <c r="B122" s="4">
        <v>50</v>
      </c>
      <c r="C122" s="5" t="s">
        <v>130</v>
      </c>
      <c r="D122" s="2" t="s">
        <v>127</v>
      </c>
      <c r="E122" s="6">
        <f t="shared" si="12"/>
        <v>68.57148649128541</v>
      </c>
      <c r="F122" s="6">
        <f t="shared" si="12"/>
        <v>480.00040543899763</v>
      </c>
      <c r="G122" s="6"/>
      <c r="H122" s="6"/>
    </row>
    <row r="123" spans="1:8" ht="12" customHeight="1">
      <c r="A123" s="82"/>
      <c r="B123" s="4">
        <v>70</v>
      </c>
      <c r="C123" s="5" t="s">
        <v>130</v>
      </c>
      <c r="D123" s="2" t="s">
        <v>127</v>
      </c>
      <c r="E123" s="6">
        <f t="shared" si="12"/>
        <v>48.979633208060996</v>
      </c>
      <c r="F123" s="6">
        <f t="shared" si="12"/>
        <v>342.857432456427</v>
      </c>
      <c r="G123" s="6"/>
      <c r="H123" s="6"/>
    </row>
    <row r="124" spans="1:8" ht="12" customHeight="1">
      <c r="A124" s="82"/>
      <c r="B124" s="4">
        <v>100</v>
      </c>
      <c r="C124" s="5" t="s">
        <v>130</v>
      </c>
      <c r="D124" s="2" t="s">
        <v>127</v>
      </c>
      <c r="E124" s="6">
        <f t="shared" si="12"/>
        <v>34.285743245642706</v>
      </c>
      <c r="F124" s="6">
        <f t="shared" si="12"/>
        <v>240.00020271949882</v>
      </c>
      <c r="G124" s="6"/>
      <c r="H124" s="6"/>
    </row>
    <row r="125" spans="1:8" ht="12" customHeight="1">
      <c r="A125" s="82"/>
      <c r="B125" s="4">
        <v>150</v>
      </c>
      <c r="C125" s="5" t="s">
        <v>130</v>
      </c>
      <c r="D125" s="2" t="s">
        <v>127</v>
      </c>
      <c r="E125" s="6">
        <f t="shared" si="12"/>
        <v>22.857162163761803</v>
      </c>
      <c r="F125" s="6">
        <f t="shared" si="12"/>
        <v>160.00013514633255</v>
      </c>
      <c r="G125" s="6"/>
      <c r="H125" s="6"/>
    </row>
    <row r="126" spans="1:8" ht="12" customHeight="1">
      <c r="A126" s="82"/>
      <c r="B126" s="4">
        <v>200</v>
      </c>
      <c r="C126" s="5" t="s">
        <v>130</v>
      </c>
      <c r="D126" s="2" t="s">
        <v>127</v>
      </c>
      <c r="E126" s="6">
        <f t="shared" si="12"/>
        <v>17.142871622821353</v>
      </c>
      <c r="F126" s="6">
        <f t="shared" si="12"/>
        <v>120.00010135974941</v>
      </c>
      <c r="G126" s="6"/>
      <c r="H126" s="6"/>
    </row>
    <row r="127" spans="1:8" ht="12" customHeight="1">
      <c r="A127" s="82"/>
      <c r="B127" s="4">
        <v>300</v>
      </c>
      <c r="C127" s="5" t="s">
        <v>130</v>
      </c>
      <c r="D127" s="2" t="s">
        <v>127</v>
      </c>
      <c r="E127" s="6">
        <f t="shared" si="12"/>
        <v>11.428581081880901</v>
      </c>
      <c r="F127" s="6">
        <f t="shared" si="12"/>
        <v>80.00006757316628</v>
      </c>
      <c r="G127" s="6"/>
      <c r="H127" s="6"/>
    </row>
    <row r="128" spans="1:8" ht="12" customHeight="1">
      <c r="A128" s="82"/>
      <c r="B128" s="4">
        <v>400</v>
      </c>
      <c r="C128" s="5" t="s">
        <v>130</v>
      </c>
      <c r="D128" s="2" t="s">
        <v>127</v>
      </c>
      <c r="E128" s="6">
        <f t="shared" si="12"/>
        <v>8.571435811410677</v>
      </c>
      <c r="F128" s="6">
        <f t="shared" si="12"/>
        <v>60.000050679874704</v>
      </c>
      <c r="G128" s="6"/>
      <c r="H128" s="6"/>
    </row>
    <row r="129" spans="1:8" ht="12" customHeight="1">
      <c r="A129" s="82"/>
      <c r="B129" s="4">
        <v>500</v>
      </c>
      <c r="C129" s="5" t="s">
        <v>130</v>
      </c>
      <c r="D129" s="2" t="s">
        <v>127</v>
      </c>
      <c r="E129" s="6">
        <f t="shared" si="12"/>
        <v>6.857148649128541</v>
      </c>
      <c r="F129" s="6">
        <f t="shared" si="12"/>
        <v>48.00004054389978</v>
      </c>
      <c r="G129" s="6"/>
      <c r="H129" s="6"/>
    </row>
    <row r="130" spans="1:8" ht="12" customHeight="1">
      <c r="A130" s="82"/>
      <c r="B130" s="4">
        <v>700</v>
      </c>
      <c r="C130" s="5" t="s">
        <v>130</v>
      </c>
      <c r="D130" s="2" t="s">
        <v>127</v>
      </c>
      <c r="E130" s="6">
        <f t="shared" si="12"/>
        <v>4.897963320806101</v>
      </c>
      <c r="F130" s="6">
        <f t="shared" si="12"/>
        <v>34.28574324564269</v>
      </c>
      <c r="G130" s="6"/>
      <c r="H130" s="6"/>
    </row>
    <row r="131" spans="1:8" ht="12" customHeight="1">
      <c r="A131" s="82"/>
      <c r="B131" s="4" t="s">
        <v>31</v>
      </c>
      <c r="C131" s="5" t="s">
        <v>130</v>
      </c>
      <c r="D131" s="2" t="s">
        <v>127</v>
      </c>
      <c r="E131" s="6">
        <f t="shared" si="12"/>
        <v>3.4285743245642704</v>
      </c>
      <c r="F131" s="6">
        <f t="shared" si="12"/>
        <v>24.00002027194989</v>
      </c>
      <c r="G131" s="6"/>
      <c r="H131" s="6"/>
    </row>
    <row r="132" spans="1:8" ht="12" customHeight="1">
      <c r="A132" s="82"/>
      <c r="B132" s="4" t="s">
        <v>32</v>
      </c>
      <c r="C132" s="5" t="s">
        <v>130</v>
      </c>
      <c r="D132" s="2" t="s">
        <v>127</v>
      </c>
      <c r="E132" s="6">
        <f t="shared" si="12"/>
        <v>2.28571621637618</v>
      </c>
      <c r="F132" s="6">
        <f t="shared" si="12"/>
        <v>16.000013514633256</v>
      </c>
      <c r="G132" s="6"/>
      <c r="H132" s="6"/>
    </row>
    <row r="133" spans="1:8" ht="12" customHeight="1">
      <c r="A133" s="82"/>
      <c r="B133" s="4" t="s">
        <v>33</v>
      </c>
      <c r="C133" s="5" t="s">
        <v>130</v>
      </c>
      <c r="D133" s="2" t="s">
        <v>127</v>
      </c>
      <c r="E133" s="6">
        <f t="shared" si="12"/>
        <v>1.7142871622821352</v>
      </c>
      <c r="F133" s="6">
        <f t="shared" si="12"/>
        <v>12.000010135974945</v>
      </c>
      <c r="G133" s="6"/>
      <c r="H133" s="6"/>
    </row>
    <row r="134" spans="1:8" ht="12" customHeight="1">
      <c r="A134" s="82"/>
      <c r="B134" s="4" t="s">
        <v>34</v>
      </c>
      <c r="C134" s="5" t="s">
        <v>130</v>
      </c>
      <c r="D134" s="2" t="s">
        <v>127</v>
      </c>
      <c r="E134" s="6">
        <f t="shared" si="12"/>
        <v>1.14285810818809</v>
      </c>
      <c r="F134" s="6">
        <f t="shared" si="12"/>
        <v>8.000006757316628</v>
      </c>
      <c r="G134" s="6"/>
      <c r="H134" s="6"/>
    </row>
    <row r="135" spans="1:8" ht="12" customHeight="1">
      <c r="A135" s="82"/>
      <c r="B135" s="4" t="s">
        <v>35</v>
      </c>
      <c r="C135" s="5" t="s">
        <v>130</v>
      </c>
      <c r="D135" s="2" t="s">
        <v>127</v>
      </c>
      <c r="E135" s="6">
        <f t="shared" si="12"/>
        <v>0.8571435811410676</v>
      </c>
      <c r="F135" s="6">
        <f t="shared" si="12"/>
        <v>6.000005067987472</v>
      </c>
      <c r="G135" s="6"/>
      <c r="H135" s="6"/>
    </row>
    <row r="136" spans="1:8" ht="12" customHeight="1">
      <c r="A136" s="82"/>
      <c r="B136" s="4" t="s">
        <v>36</v>
      </c>
      <c r="C136" s="5" t="s">
        <v>130</v>
      </c>
      <c r="D136" s="2" t="s">
        <v>127</v>
      </c>
      <c r="E136" s="6">
        <f t="shared" si="12"/>
        <v>0.6857148649128542</v>
      </c>
      <c r="F136" s="6">
        <f t="shared" si="12"/>
        <v>4.800004054389977</v>
      </c>
      <c r="G136" s="6"/>
      <c r="H136" s="6"/>
    </row>
    <row r="137" spans="1:8" ht="12" customHeight="1">
      <c r="A137" s="82"/>
      <c r="B137" s="4" t="s">
        <v>37</v>
      </c>
      <c r="C137" s="5" t="s">
        <v>130</v>
      </c>
      <c r="D137" s="2" t="s">
        <v>127</v>
      </c>
      <c r="E137" s="6">
        <f t="shared" si="12"/>
        <v>0.4897963320806101</v>
      </c>
      <c r="F137" s="6">
        <f t="shared" si="12"/>
        <v>3.4285743245642695</v>
      </c>
      <c r="G137" s="6"/>
      <c r="H137" s="6"/>
    </row>
    <row r="138" spans="1:8" ht="12" customHeight="1">
      <c r="A138" s="82"/>
      <c r="B138" s="4" t="s">
        <v>38</v>
      </c>
      <c r="C138" s="5" t="s">
        <v>130</v>
      </c>
      <c r="D138" s="2" t="s">
        <v>127</v>
      </c>
      <c r="E138" s="6">
        <f t="shared" si="12"/>
        <v>0.3428574324564271</v>
      </c>
      <c r="F138" s="6">
        <f t="shared" si="12"/>
        <v>2.4000020271949887</v>
      </c>
      <c r="G138" s="6"/>
      <c r="H138" s="6"/>
    </row>
    <row r="139" spans="1:8" ht="12" customHeight="1">
      <c r="A139" s="82"/>
      <c r="B139" s="4" t="s">
        <v>39</v>
      </c>
      <c r="C139" s="5" t="s">
        <v>130</v>
      </c>
      <c r="D139" s="2" t="s">
        <v>127</v>
      </c>
      <c r="E139" s="6">
        <f t="shared" si="12"/>
        <v>0.22857162163761796</v>
      </c>
      <c r="F139" s="6">
        <f t="shared" si="12"/>
        <v>1.6000013514633253</v>
      </c>
      <c r="G139" s="6"/>
      <c r="H139" s="6"/>
    </row>
    <row r="140" spans="1:8" ht="12" customHeight="1">
      <c r="A140" s="83"/>
      <c r="B140" s="4" t="s">
        <v>40</v>
      </c>
      <c r="C140" s="5" t="s">
        <v>130</v>
      </c>
      <c r="D140" s="2" t="s">
        <v>127</v>
      </c>
      <c r="E140" s="6">
        <f t="shared" si="12"/>
        <v>0.17142871622821354</v>
      </c>
      <c r="F140" s="6">
        <f t="shared" si="12"/>
        <v>1.2000010135974943</v>
      </c>
      <c r="G140" s="6"/>
      <c r="H140" s="6"/>
    </row>
    <row r="141" spans="1:8" ht="12" customHeight="1">
      <c r="A141" s="81" t="s">
        <v>120</v>
      </c>
      <c r="B141" s="4">
        <v>20</v>
      </c>
      <c r="C141" s="5" t="s">
        <v>130</v>
      </c>
      <c r="D141" s="67" t="s">
        <v>126</v>
      </c>
      <c r="E141" s="6">
        <f aca="true" t="shared" si="13" ref="E141:E162">E$28/(E$28^2+E97^2)+F$28/(F$28^2+(F97-E119)^2)+G$28/(G$28^2+F119^2)</f>
        <v>0.16660859100512773</v>
      </c>
      <c r="F141" s="6"/>
      <c r="G141" s="6"/>
      <c r="H141" s="6"/>
    </row>
    <row r="142" spans="1:8" ht="12" customHeight="1">
      <c r="A142" s="82"/>
      <c r="B142" s="4">
        <v>30</v>
      </c>
      <c r="C142" s="5" t="s">
        <v>130</v>
      </c>
      <c r="D142" s="67" t="s">
        <v>126</v>
      </c>
      <c r="E142" s="6">
        <f t="shared" si="13"/>
        <v>0.16653671738098297</v>
      </c>
      <c r="F142" s="6"/>
      <c r="G142" s="6"/>
      <c r="H142" s="6"/>
    </row>
    <row r="143" spans="1:8" ht="12" customHeight="1">
      <c r="A143" s="82"/>
      <c r="B143" s="4">
        <v>40</v>
      </c>
      <c r="C143" s="5" t="s">
        <v>130</v>
      </c>
      <c r="D143" s="67" t="s">
        <v>126</v>
      </c>
      <c r="E143" s="6">
        <f t="shared" si="13"/>
        <v>0.16643742864608943</v>
      </c>
      <c r="F143" s="6"/>
      <c r="G143" s="6"/>
      <c r="H143" s="6"/>
    </row>
    <row r="144" spans="1:8" ht="12" customHeight="1">
      <c r="A144" s="82"/>
      <c r="B144" s="4">
        <v>50</v>
      </c>
      <c r="C144" s="5" t="s">
        <v>130</v>
      </c>
      <c r="D144" s="67" t="s">
        <v>126</v>
      </c>
      <c r="E144" s="6">
        <f t="shared" si="13"/>
        <v>0.1663120336863539</v>
      </c>
      <c r="F144" s="6"/>
      <c r="G144" s="6"/>
      <c r="H144" s="6"/>
    </row>
    <row r="145" spans="1:8" ht="12" customHeight="1">
      <c r="A145" s="82"/>
      <c r="B145" s="4">
        <v>70</v>
      </c>
      <c r="C145" s="5" t="s">
        <v>130</v>
      </c>
      <c r="D145" s="67" t="s">
        <v>126</v>
      </c>
      <c r="E145" s="6">
        <f t="shared" si="13"/>
        <v>0.1659898266810309</v>
      </c>
      <c r="F145" s="6"/>
      <c r="G145" s="6"/>
      <c r="H145" s="6"/>
    </row>
    <row r="146" spans="1:8" ht="12" customHeight="1">
      <c r="A146" s="82"/>
      <c r="B146" s="4">
        <v>100</v>
      </c>
      <c r="C146" s="5" t="s">
        <v>130</v>
      </c>
      <c r="D146" s="67" t="s">
        <v>126</v>
      </c>
      <c r="E146" s="6">
        <f t="shared" si="13"/>
        <v>0.16536141193980028</v>
      </c>
      <c r="F146" s="6"/>
      <c r="G146" s="6"/>
      <c r="H146" s="6"/>
    </row>
    <row r="147" spans="1:8" ht="12" customHeight="1">
      <c r="A147" s="82"/>
      <c r="B147" s="4">
        <v>150</v>
      </c>
      <c r="C147" s="5" t="s">
        <v>130</v>
      </c>
      <c r="D147" s="67" t="s">
        <v>126</v>
      </c>
      <c r="E147" s="6">
        <f t="shared" si="13"/>
        <v>0.16411298406269234</v>
      </c>
      <c r="F147" s="6"/>
      <c r="G147" s="6"/>
      <c r="H147" s="6"/>
    </row>
    <row r="148" spans="1:8" ht="12" customHeight="1">
      <c r="A148" s="82"/>
      <c r="B148" s="4">
        <v>200</v>
      </c>
      <c r="C148" s="5" t="s">
        <v>130</v>
      </c>
      <c r="D148" s="67" t="s">
        <v>126</v>
      </c>
      <c r="E148" s="6">
        <f t="shared" si="13"/>
        <v>0.16294748721960547</v>
      </c>
      <c r="F148" s="6"/>
      <c r="G148" s="6"/>
      <c r="H148" s="6"/>
    </row>
    <row r="149" spans="1:8" ht="12" customHeight="1">
      <c r="A149" s="82"/>
      <c r="B149" s="4">
        <v>300</v>
      </c>
      <c r="C149" s="5" t="s">
        <v>130</v>
      </c>
      <c r="D149" s="67" t="s">
        <v>126</v>
      </c>
      <c r="E149" s="6">
        <f t="shared" si="13"/>
        <v>0.16216059871264685</v>
      </c>
      <c r="F149" s="6"/>
      <c r="G149" s="6"/>
      <c r="H149" s="6"/>
    </row>
    <row r="150" spans="1:8" ht="12" customHeight="1">
      <c r="A150" s="82"/>
      <c r="B150" s="4">
        <v>400</v>
      </c>
      <c r="C150" s="5" t="s">
        <v>130</v>
      </c>
      <c r="D150" s="67" t="s">
        <v>126</v>
      </c>
      <c r="E150" s="6">
        <f t="shared" si="13"/>
        <v>0.16438561702916882</v>
      </c>
      <c r="F150" s="6"/>
      <c r="G150" s="6"/>
      <c r="H150" s="6"/>
    </row>
    <row r="151" spans="1:8" ht="12" customHeight="1">
      <c r="A151" s="82"/>
      <c r="B151" s="4">
        <v>500</v>
      </c>
      <c r="C151" s="5" t="s">
        <v>130</v>
      </c>
      <c r="D151" s="67" t="s">
        <v>126</v>
      </c>
      <c r="E151" s="6">
        <f t="shared" si="13"/>
        <v>0.16923074485476802</v>
      </c>
      <c r="F151" s="6"/>
      <c r="G151" s="6"/>
      <c r="H151" s="6"/>
    </row>
    <row r="152" spans="1:8" ht="12" customHeight="1">
      <c r="A152" s="82"/>
      <c r="B152" s="4">
        <v>700</v>
      </c>
      <c r="C152" s="5" t="s">
        <v>130</v>
      </c>
      <c r="D152" s="67" t="s">
        <v>126</v>
      </c>
      <c r="E152" s="6">
        <f t="shared" si="13"/>
        <v>0.1820441061656841</v>
      </c>
      <c r="F152" s="6"/>
      <c r="G152" s="6"/>
      <c r="H152" s="6"/>
    </row>
    <row r="153" spans="1:8" ht="12" customHeight="1">
      <c r="A153" s="82"/>
      <c r="B153" s="4" t="s">
        <v>31</v>
      </c>
      <c r="C153" s="5" t="s">
        <v>130</v>
      </c>
      <c r="D153" s="67" t="s">
        <v>126</v>
      </c>
      <c r="E153" s="6">
        <f t="shared" si="13"/>
        <v>0.19722527574029802</v>
      </c>
      <c r="F153" s="6"/>
      <c r="G153" s="6"/>
      <c r="H153" s="6"/>
    </row>
    <row r="154" spans="1:8" ht="12" customHeight="1">
      <c r="A154" s="82"/>
      <c r="B154" s="4" t="s">
        <v>32</v>
      </c>
      <c r="C154" s="5" t="s">
        <v>130</v>
      </c>
      <c r="D154" s="67" t="s">
        <v>126</v>
      </c>
      <c r="E154" s="6">
        <f t="shared" si="13"/>
        <v>0.20350421034410304</v>
      </c>
      <c r="F154" s="6"/>
      <c r="G154" s="6"/>
      <c r="H154" s="6"/>
    </row>
    <row r="155" spans="1:8" ht="12" customHeight="1">
      <c r="A155" s="82"/>
      <c r="B155" s="4" t="s">
        <v>33</v>
      </c>
      <c r="C155" s="5" t="s">
        <v>130</v>
      </c>
      <c r="D155" s="67" t="s">
        <v>126</v>
      </c>
      <c r="E155" s="6">
        <f t="shared" si="13"/>
        <v>0.19722533469250242</v>
      </c>
      <c r="F155" s="6"/>
      <c r="G155" s="6"/>
      <c r="H155" s="6"/>
    </row>
    <row r="156" spans="1:8" ht="12" customHeight="1">
      <c r="A156" s="82"/>
      <c r="B156" s="4" t="s">
        <v>34</v>
      </c>
      <c r="C156" s="5" t="s">
        <v>130</v>
      </c>
      <c r="D156" s="67" t="s">
        <v>126</v>
      </c>
      <c r="E156" s="6">
        <f t="shared" si="13"/>
        <v>0.17988915667108896</v>
      </c>
      <c r="F156" s="6"/>
      <c r="G156" s="6"/>
      <c r="H156" s="6"/>
    </row>
    <row r="157" spans="1:8" ht="12" customHeight="1">
      <c r="A157" s="82"/>
      <c r="B157" s="4" t="s">
        <v>35</v>
      </c>
      <c r="C157" s="5" t="s">
        <v>130</v>
      </c>
      <c r="D157" s="67" t="s">
        <v>126</v>
      </c>
      <c r="E157" s="6">
        <f t="shared" si="13"/>
        <v>0.16923079360681625</v>
      </c>
      <c r="F157" s="6"/>
      <c r="G157" s="6"/>
      <c r="H157" s="6"/>
    </row>
    <row r="158" spans="1:8" ht="12" customHeight="1">
      <c r="A158" s="82"/>
      <c r="B158" s="4" t="s">
        <v>36</v>
      </c>
      <c r="C158" s="5" t="s">
        <v>130</v>
      </c>
      <c r="D158" s="67" t="s">
        <v>126</v>
      </c>
      <c r="E158" s="6">
        <f t="shared" si="13"/>
        <v>0.16438564206216352</v>
      </c>
      <c r="F158" s="6"/>
      <c r="G158" s="6"/>
      <c r="H158" s="6"/>
    </row>
    <row r="159" spans="1:8" ht="12" customHeight="1">
      <c r="A159" s="82"/>
      <c r="B159" s="4" t="s">
        <v>37</v>
      </c>
      <c r="C159" s="5" t="s">
        <v>130</v>
      </c>
      <c r="D159" s="67" t="s">
        <v>126</v>
      </c>
      <c r="E159" s="6">
        <f t="shared" si="13"/>
        <v>0.16209857129889568</v>
      </c>
      <c r="F159" s="6"/>
      <c r="G159" s="6"/>
      <c r="H159" s="6"/>
    </row>
    <row r="160" spans="1:8" ht="12" customHeight="1">
      <c r="A160" s="82"/>
      <c r="B160" s="4" t="s">
        <v>38</v>
      </c>
      <c r="C160" s="5" t="s">
        <v>130</v>
      </c>
      <c r="D160" s="67" t="s">
        <v>126</v>
      </c>
      <c r="E160" s="6">
        <f t="shared" si="13"/>
        <v>0.16294748046338922</v>
      </c>
      <c r="F160" s="6"/>
      <c r="G160" s="6"/>
      <c r="H160" s="6"/>
    </row>
    <row r="161" spans="1:8" ht="12" customHeight="1">
      <c r="A161" s="82"/>
      <c r="B161" s="4" t="s">
        <v>39</v>
      </c>
      <c r="C161" s="5" t="s">
        <v>130</v>
      </c>
      <c r="D161" s="67" t="s">
        <v>126</v>
      </c>
      <c r="E161" s="6">
        <f t="shared" si="13"/>
        <v>0.1645390955487757</v>
      </c>
      <c r="F161" s="6"/>
      <c r="G161" s="6"/>
      <c r="H161" s="6"/>
    </row>
    <row r="162" spans="1:8" ht="12" customHeight="1">
      <c r="A162" s="83"/>
      <c r="B162" s="4" t="s">
        <v>40</v>
      </c>
      <c r="C162" s="5" t="s">
        <v>130</v>
      </c>
      <c r="D162" s="67" t="s">
        <v>126</v>
      </c>
      <c r="E162" s="6">
        <f t="shared" si="13"/>
        <v>0.16536140802030463</v>
      </c>
      <c r="F162" s="6"/>
      <c r="G162" s="6"/>
      <c r="H162" s="6"/>
    </row>
    <row r="163" spans="1:8" ht="12" customHeight="1">
      <c r="A163" s="81" t="s">
        <v>121</v>
      </c>
      <c r="B163" s="4">
        <v>20</v>
      </c>
      <c r="C163" s="5" t="s">
        <v>130</v>
      </c>
      <c r="D163" s="67" t="s">
        <v>126</v>
      </c>
      <c r="E163" s="3">
        <f aca="true" t="shared" si="14" ref="E163:E184">-E97/(E$28^2+E97^2)-(F97-E119)/(F$28^2+(F97-E119)^2)+F119/(G$28^2+F119^2)</f>
        <v>4.654311854742103E-06</v>
      </c>
      <c r="F163" s="3"/>
      <c r="G163" s="3"/>
      <c r="H163" s="3"/>
    </row>
    <row r="164" spans="1:8" ht="12" customHeight="1">
      <c r="A164" s="82"/>
      <c r="B164" s="4">
        <v>30</v>
      </c>
      <c r="C164" s="5" t="s">
        <v>130</v>
      </c>
      <c r="D164" s="67" t="s">
        <v>126</v>
      </c>
      <c r="E164" s="3">
        <f t="shared" si="14"/>
        <v>1.5656453946048896E-05</v>
      </c>
      <c r="F164" s="3"/>
      <c r="G164" s="3"/>
      <c r="H164" s="3"/>
    </row>
    <row r="165" spans="1:8" ht="12" customHeight="1">
      <c r="A165" s="82"/>
      <c r="B165" s="4">
        <v>40</v>
      </c>
      <c r="C165" s="5" t="s">
        <v>130</v>
      </c>
      <c r="D165" s="67" t="s">
        <v>126</v>
      </c>
      <c r="E165" s="3">
        <f t="shared" si="14"/>
        <v>3.694051585987246E-05</v>
      </c>
      <c r="F165" s="3"/>
      <c r="G165" s="3"/>
      <c r="H165" s="3"/>
    </row>
    <row r="166" spans="1:8" ht="12" customHeight="1">
      <c r="A166" s="82"/>
      <c r="B166" s="4">
        <v>50</v>
      </c>
      <c r="C166" s="5" t="s">
        <v>130</v>
      </c>
      <c r="D166" s="67" t="s">
        <v>126</v>
      </c>
      <c r="E166" s="3">
        <f t="shared" si="14"/>
        <v>7.172309654338363E-05</v>
      </c>
      <c r="F166" s="3"/>
      <c r="G166" s="3"/>
      <c r="H166" s="3"/>
    </row>
    <row r="167" spans="1:8" ht="12" customHeight="1">
      <c r="A167" s="82"/>
      <c r="B167" s="4">
        <v>70</v>
      </c>
      <c r="C167" s="5" t="s">
        <v>130</v>
      </c>
      <c r="D167" s="67" t="s">
        <v>126</v>
      </c>
      <c r="E167" s="3">
        <f t="shared" si="14"/>
        <v>0.00019373677308225394</v>
      </c>
      <c r="F167" s="3"/>
      <c r="G167" s="3"/>
      <c r="H167" s="3"/>
    </row>
    <row r="168" spans="1:8" ht="12" customHeight="1">
      <c r="A168" s="82"/>
      <c r="B168" s="4">
        <v>100</v>
      </c>
      <c r="C168" s="5" t="s">
        <v>130</v>
      </c>
      <c r="D168" s="67" t="s">
        <v>126</v>
      </c>
      <c r="E168" s="3">
        <f t="shared" si="14"/>
        <v>0.0005464586350107442</v>
      </c>
      <c r="F168" s="3"/>
      <c r="G168" s="3"/>
      <c r="H168" s="3"/>
    </row>
    <row r="169" spans="1:8" ht="12" customHeight="1">
      <c r="A169" s="82"/>
      <c r="B169" s="4">
        <v>150</v>
      </c>
      <c r="C169" s="5" t="s">
        <v>130</v>
      </c>
      <c r="D169" s="67" t="s">
        <v>126</v>
      </c>
      <c r="E169" s="3">
        <f t="shared" si="14"/>
        <v>0.0017040660523486729</v>
      </c>
      <c r="F169" s="3"/>
      <c r="G169" s="3"/>
      <c r="H169" s="3"/>
    </row>
    <row r="170" spans="1:8" ht="12" customHeight="1">
      <c r="A170" s="82"/>
      <c r="B170" s="4">
        <v>200</v>
      </c>
      <c r="C170" s="5" t="s">
        <v>130</v>
      </c>
      <c r="D170" s="67" t="s">
        <v>126</v>
      </c>
      <c r="E170" s="3">
        <f t="shared" si="14"/>
        <v>0.003631626749738418</v>
      </c>
      <c r="F170" s="3"/>
      <c r="G170" s="3"/>
      <c r="H170" s="3"/>
    </row>
    <row r="171" spans="1:8" ht="12" customHeight="1">
      <c r="A171" s="82"/>
      <c r="B171" s="4">
        <v>300</v>
      </c>
      <c r="C171" s="5" t="s">
        <v>130</v>
      </c>
      <c r="D171" s="67" t="s">
        <v>126</v>
      </c>
      <c r="E171" s="3">
        <f t="shared" si="14"/>
        <v>0.009260186562080542</v>
      </c>
      <c r="F171" s="3"/>
      <c r="G171" s="3"/>
      <c r="H171" s="3"/>
    </row>
    <row r="172" spans="1:8" ht="12" customHeight="1">
      <c r="A172" s="82"/>
      <c r="B172" s="4">
        <v>400</v>
      </c>
      <c r="C172" s="5" t="s">
        <v>130</v>
      </c>
      <c r="D172" s="67" t="s">
        <v>126</v>
      </c>
      <c r="E172" s="3">
        <f t="shared" si="14"/>
        <v>0.015516092198378396</v>
      </c>
      <c r="F172" s="3"/>
      <c r="G172" s="3"/>
      <c r="H172" s="3"/>
    </row>
    <row r="173" spans="1:8" ht="12" customHeight="1">
      <c r="A173" s="82"/>
      <c r="B173" s="4">
        <v>500</v>
      </c>
      <c r="C173" s="5" t="s">
        <v>130</v>
      </c>
      <c r="D173" s="67" t="s">
        <v>126</v>
      </c>
      <c r="E173" s="3">
        <f t="shared" si="14"/>
        <v>0.020512803719483365</v>
      </c>
      <c r="F173" s="3"/>
      <c r="G173" s="3"/>
      <c r="H173" s="3"/>
    </row>
    <row r="174" spans="1:8" ht="12" customHeight="1">
      <c r="A174" s="82"/>
      <c r="B174" s="4">
        <v>700</v>
      </c>
      <c r="C174" s="5" t="s">
        <v>130</v>
      </c>
      <c r="D174" s="67" t="s">
        <v>126</v>
      </c>
      <c r="E174" s="3">
        <f t="shared" si="14"/>
        <v>0.02391436374302812</v>
      </c>
      <c r="F174" s="3"/>
      <c r="G174" s="3"/>
      <c r="H174" s="3"/>
    </row>
    <row r="175" spans="1:8" ht="12" customHeight="1">
      <c r="A175" s="82"/>
      <c r="B175" s="4" t="s">
        <v>31</v>
      </c>
      <c r="C175" s="5" t="s">
        <v>130</v>
      </c>
      <c r="D175" s="67" t="s">
        <v>126</v>
      </c>
      <c r="E175" s="3">
        <f t="shared" si="14"/>
        <v>0.01657420854708016</v>
      </c>
      <c r="F175" s="3"/>
      <c r="G175" s="3"/>
      <c r="H175" s="3"/>
    </row>
    <row r="176" spans="1:8" ht="12" customHeight="1">
      <c r="A176" s="82"/>
      <c r="B176" s="4" t="s">
        <v>32</v>
      </c>
      <c r="C176" s="5" t="s">
        <v>130</v>
      </c>
      <c r="D176" s="67" t="s">
        <v>126</v>
      </c>
      <c r="E176" s="3">
        <f t="shared" si="14"/>
        <v>-0.0031239869552507626</v>
      </c>
      <c r="F176" s="3"/>
      <c r="G176" s="3"/>
      <c r="H176" s="3"/>
    </row>
    <row r="177" spans="1:8" ht="12" customHeight="1">
      <c r="A177" s="82"/>
      <c r="B177" s="4" t="s">
        <v>33</v>
      </c>
      <c r="C177" s="5" t="s">
        <v>130</v>
      </c>
      <c r="D177" s="67" t="s">
        <v>126</v>
      </c>
      <c r="E177" s="3">
        <f t="shared" si="14"/>
        <v>-0.016574145133955387</v>
      </c>
      <c r="F177" s="3"/>
      <c r="G177" s="3"/>
      <c r="H177" s="3"/>
    </row>
    <row r="178" spans="1:8" ht="12" customHeight="1">
      <c r="A178" s="82"/>
      <c r="B178" s="4" t="s">
        <v>34</v>
      </c>
      <c r="C178" s="5" t="s">
        <v>130</v>
      </c>
      <c r="D178" s="67" t="s">
        <v>126</v>
      </c>
      <c r="E178" s="3">
        <f t="shared" si="14"/>
        <v>-0.023950105195223267</v>
      </c>
      <c r="F178" s="3"/>
      <c r="G178" s="3"/>
      <c r="H178" s="3"/>
    </row>
    <row r="179" spans="1:8" ht="12" customHeight="1">
      <c r="A179" s="82"/>
      <c r="B179" s="4" t="s">
        <v>35</v>
      </c>
      <c r="C179" s="5" t="s">
        <v>130</v>
      </c>
      <c r="D179" s="67" t="s">
        <v>126</v>
      </c>
      <c r="E179" s="3">
        <f t="shared" si="14"/>
        <v>-0.02051283730613171</v>
      </c>
      <c r="F179" s="3"/>
      <c r="G179" s="3"/>
      <c r="H179" s="3"/>
    </row>
    <row r="180" spans="1:8" ht="12" customHeight="1">
      <c r="A180" s="82"/>
      <c r="B180" s="4" t="s">
        <v>36</v>
      </c>
      <c r="C180" s="5" t="s">
        <v>130</v>
      </c>
      <c r="D180" s="67" t="s">
        <v>126</v>
      </c>
      <c r="E180" s="3">
        <f t="shared" si="14"/>
        <v>-0.01551613185100384</v>
      </c>
      <c r="F180" s="3"/>
      <c r="G180" s="3"/>
      <c r="H180" s="3"/>
    </row>
    <row r="181" spans="1:8" ht="12" customHeight="1">
      <c r="A181" s="82"/>
      <c r="B181" s="4" t="s">
        <v>37</v>
      </c>
      <c r="C181" s="5" t="s">
        <v>130</v>
      </c>
      <c r="D181" s="67" t="s">
        <v>126</v>
      </c>
      <c r="E181" s="3">
        <f t="shared" si="14"/>
        <v>-0.008365454766017924</v>
      </c>
      <c r="F181" s="3"/>
      <c r="G181" s="3"/>
      <c r="H181" s="3"/>
    </row>
    <row r="182" spans="1:8" ht="12" customHeight="1">
      <c r="A182" s="82"/>
      <c r="B182" s="4" t="s">
        <v>38</v>
      </c>
      <c r="C182" s="5" t="s">
        <v>130</v>
      </c>
      <c r="D182" s="67" t="s">
        <v>126</v>
      </c>
      <c r="E182" s="3">
        <f t="shared" si="14"/>
        <v>-0.003631642237531013</v>
      </c>
      <c r="F182" s="3"/>
      <c r="G182" s="3"/>
      <c r="H182" s="3"/>
    </row>
    <row r="183" spans="1:8" ht="12" customHeight="1">
      <c r="A183" s="82"/>
      <c r="B183" s="4" t="s">
        <v>39</v>
      </c>
      <c r="C183" s="5" t="s">
        <v>130</v>
      </c>
      <c r="D183" s="67" t="s">
        <v>126</v>
      </c>
      <c r="E183" s="3">
        <f t="shared" si="14"/>
        <v>-0.0012327281887509131</v>
      </c>
      <c r="F183" s="3"/>
      <c r="G183" s="3"/>
      <c r="H183" s="3"/>
    </row>
    <row r="184" spans="1:8" ht="12" customHeight="1">
      <c r="A184" s="83"/>
      <c r="B184" s="4" t="s">
        <v>40</v>
      </c>
      <c r="C184" s="5" t="s">
        <v>130</v>
      </c>
      <c r="D184" s="67" t="s">
        <v>126</v>
      </c>
      <c r="E184" s="3">
        <f t="shared" si="14"/>
        <v>-0.000546461285619193</v>
      </c>
      <c r="F184" s="3"/>
      <c r="G184" s="3"/>
      <c r="H184" s="3"/>
    </row>
    <row r="185" spans="1:8" ht="12" customHeight="1">
      <c r="A185" s="81" t="s">
        <v>122</v>
      </c>
      <c r="B185" s="4">
        <v>20</v>
      </c>
      <c r="C185" s="5" t="s">
        <v>130</v>
      </c>
      <c r="D185" s="2" t="s">
        <v>125</v>
      </c>
      <c r="E185" s="7">
        <f>IF($H$17=1,SpeakerCorrection1!E56,0)+IF($H$17=2,SpeakerCorrection2!E56,0)+IF($H$17=3,SpeakerCorrection3!E56,0)+IF($H$17=4,SpeakerCorrection4!E56,0)</f>
        <v>0</v>
      </c>
      <c r="F185" s="7">
        <f>IF($H$17=1,SpeakerCorrection1!F56,0)+IF($H$17=2,SpeakerCorrection2!F56,0)+IF($H$17=3,SpeakerCorrection3!F56,0)+IF($H$17=4,SpeakerCorrection4!F56,0)</f>
        <v>0</v>
      </c>
      <c r="G185" s="7">
        <f>IF($H$17=1,SpeakerCorrection1!G56,0)+IF($H$17=2,SpeakerCorrection2!G56,0)+IF($H$17=3,SpeakerCorrection3!G56,0)+IF($H$17=4,SpeakerCorrection4!G56,0)</f>
        <v>0</v>
      </c>
      <c r="H185" s="7">
        <f>IF($H$17=1,SpeakerCorrection1!H56,0)+IF($H$17=2,SpeakerCorrection2!H56,0)+IF($H$17=3,SpeakerCorrection3!H56,0)+IF($H$17=4,SpeakerCorrection4!H56,0)</f>
        <v>0</v>
      </c>
    </row>
    <row r="186" spans="1:8" ht="12" customHeight="1">
      <c r="A186" s="82"/>
      <c r="B186" s="4">
        <v>30</v>
      </c>
      <c r="C186" s="5" t="s">
        <v>130</v>
      </c>
      <c r="D186" s="2" t="s">
        <v>125</v>
      </c>
      <c r="E186" s="7">
        <f>IF($H$17=1,SpeakerCorrection1!E57,0)+IF($H$17=2,SpeakerCorrection2!E57,0)+IF($H$17=3,SpeakerCorrection3!E57,0)+IF($H$17=4,SpeakerCorrection4!E57,0)</f>
        <v>0</v>
      </c>
      <c r="F186" s="7">
        <f>IF($H$17=1,SpeakerCorrection1!F57,0)+IF($H$17=2,SpeakerCorrection2!F57,0)+IF($H$17=3,SpeakerCorrection3!F57,0)+IF($H$17=4,SpeakerCorrection4!F57,0)</f>
        <v>0</v>
      </c>
      <c r="G186" s="7">
        <f>IF($H$17=1,SpeakerCorrection1!G57,0)+IF($H$17=2,SpeakerCorrection2!G57,0)+IF($H$17=3,SpeakerCorrection3!G57,0)+IF($H$17=4,SpeakerCorrection4!G57,0)</f>
        <v>0</v>
      </c>
      <c r="H186" s="7">
        <f>IF($H$17=1,SpeakerCorrection1!H57,0)+IF($H$17=2,SpeakerCorrection2!H57,0)+IF($H$17=3,SpeakerCorrection3!H57,0)+IF($H$17=4,SpeakerCorrection4!H57,0)</f>
        <v>0</v>
      </c>
    </row>
    <row r="187" spans="1:8" ht="12" customHeight="1">
      <c r="A187" s="82"/>
      <c r="B187" s="4">
        <v>40</v>
      </c>
      <c r="C187" s="5" t="s">
        <v>130</v>
      </c>
      <c r="D187" s="2" t="s">
        <v>125</v>
      </c>
      <c r="E187" s="7">
        <f>IF($H$17=1,SpeakerCorrection1!E58,0)+IF($H$17=2,SpeakerCorrection2!E58,0)+IF($H$17=3,SpeakerCorrection3!E58,0)+IF($H$17=4,SpeakerCorrection4!E58,0)</f>
        <v>0</v>
      </c>
      <c r="F187" s="7">
        <f>IF($H$17=1,SpeakerCorrection1!F58,0)+IF($H$17=2,SpeakerCorrection2!F58,0)+IF($H$17=3,SpeakerCorrection3!F58,0)+IF($H$17=4,SpeakerCorrection4!F58,0)</f>
        <v>0</v>
      </c>
      <c r="G187" s="7">
        <f>IF($H$17=1,SpeakerCorrection1!G58,0)+IF($H$17=2,SpeakerCorrection2!G58,0)+IF($H$17=3,SpeakerCorrection3!G58,0)+IF($H$17=4,SpeakerCorrection4!G58,0)</f>
        <v>0</v>
      </c>
      <c r="H187" s="7">
        <f>IF($H$17=1,SpeakerCorrection1!H58,0)+IF($H$17=2,SpeakerCorrection2!H58,0)+IF($H$17=3,SpeakerCorrection3!H58,0)+IF($H$17=4,SpeakerCorrection4!H58,0)</f>
        <v>0</v>
      </c>
    </row>
    <row r="188" spans="1:8" ht="12" customHeight="1">
      <c r="A188" s="82"/>
      <c r="B188" s="4">
        <v>50</v>
      </c>
      <c r="C188" s="5" t="s">
        <v>130</v>
      </c>
      <c r="D188" s="2" t="s">
        <v>125</v>
      </c>
      <c r="E188" s="7">
        <f>IF($H$17=1,SpeakerCorrection1!E59,0)+IF($H$17=2,SpeakerCorrection2!E59,0)+IF($H$17=3,SpeakerCorrection3!E59,0)+IF($H$17=4,SpeakerCorrection4!E59,0)</f>
        <v>0</v>
      </c>
      <c r="F188" s="7">
        <f>IF($H$17=1,SpeakerCorrection1!F59,0)+IF($H$17=2,SpeakerCorrection2!F59,0)+IF($H$17=3,SpeakerCorrection3!F59,0)+IF($H$17=4,SpeakerCorrection4!F59,0)</f>
        <v>0</v>
      </c>
      <c r="G188" s="7">
        <f>IF($H$17=1,SpeakerCorrection1!G59,0)+IF($H$17=2,SpeakerCorrection2!G59,0)+IF($H$17=3,SpeakerCorrection3!G59,0)+IF($H$17=4,SpeakerCorrection4!G59,0)</f>
        <v>0</v>
      </c>
      <c r="H188" s="7">
        <f>IF($H$17=1,SpeakerCorrection1!H59,0)+IF($H$17=2,SpeakerCorrection2!H59,0)+IF($H$17=3,SpeakerCorrection3!H59,0)+IF($H$17=4,SpeakerCorrection4!H59,0)</f>
        <v>0</v>
      </c>
    </row>
    <row r="189" spans="1:8" ht="12" customHeight="1">
      <c r="A189" s="82"/>
      <c r="B189" s="4">
        <v>70</v>
      </c>
      <c r="C189" s="5" t="s">
        <v>130</v>
      </c>
      <c r="D189" s="2" t="s">
        <v>125</v>
      </c>
      <c r="E189" s="7">
        <f>IF($H$17=1,SpeakerCorrection1!E60,0)+IF($H$17=2,SpeakerCorrection2!E60,0)+IF($H$17=3,SpeakerCorrection3!E60,0)+IF($H$17=4,SpeakerCorrection4!E60,0)</f>
        <v>0</v>
      </c>
      <c r="F189" s="7">
        <f>IF($H$17=1,SpeakerCorrection1!F60,0)+IF($H$17=2,SpeakerCorrection2!F60,0)+IF($H$17=3,SpeakerCorrection3!F60,0)+IF($H$17=4,SpeakerCorrection4!F60,0)</f>
        <v>0</v>
      </c>
      <c r="G189" s="7">
        <f>IF($H$17=1,SpeakerCorrection1!G60,0)+IF($H$17=2,SpeakerCorrection2!G60,0)+IF($H$17=3,SpeakerCorrection3!G60,0)+IF($H$17=4,SpeakerCorrection4!G60,0)</f>
        <v>0</v>
      </c>
      <c r="H189" s="7">
        <f>IF($H$17=1,SpeakerCorrection1!H60,0)+IF($H$17=2,SpeakerCorrection2!H60,0)+IF($H$17=3,SpeakerCorrection3!H60,0)+IF($H$17=4,SpeakerCorrection4!H60,0)</f>
        <v>0</v>
      </c>
    </row>
    <row r="190" spans="1:8" ht="12" customHeight="1">
      <c r="A190" s="82"/>
      <c r="B190" s="4">
        <v>100</v>
      </c>
      <c r="C190" s="5" t="s">
        <v>130</v>
      </c>
      <c r="D190" s="2" t="s">
        <v>125</v>
      </c>
      <c r="E190" s="7">
        <f>IF($H$17=1,SpeakerCorrection1!E61,0)+IF($H$17=2,SpeakerCorrection2!E61,0)+IF($H$17=3,SpeakerCorrection3!E61,0)+IF($H$17=4,SpeakerCorrection4!E61,0)</f>
        <v>0</v>
      </c>
      <c r="F190" s="7">
        <f>IF($H$17=1,SpeakerCorrection1!F61,0)+IF($H$17=2,SpeakerCorrection2!F61,0)+IF($H$17=3,SpeakerCorrection3!F61,0)+IF($H$17=4,SpeakerCorrection4!F61,0)</f>
        <v>0</v>
      </c>
      <c r="G190" s="7">
        <f>IF($H$17=1,SpeakerCorrection1!G61,0)+IF($H$17=2,SpeakerCorrection2!G61,0)+IF($H$17=3,SpeakerCorrection3!G61,0)+IF($H$17=4,SpeakerCorrection4!G61,0)</f>
        <v>0</v>
      </c>
      <c r="H190" s="7">
        <f>IF($H$17=1,SpeakerCorrection1!H61,0)+IF($H$17=2,SpeakerCorrection2!H61,0)+IF($H$17=3,SpeakerCorrection3!H61,0)+IF($H$17=4,SpeakerCorrection4!H61,0)</f>
        <v>0</v>
      </c>
    </row>
    <row r="191" spans="1:8" ht="12" customHeight="1">
      <c r="A191" s="82"/>
      <c r="B191" s="4">
        <v>150</v>
      </c>
      <c r="C191" s="5" t="s">
        <v>130</v>
      </c>
      <c r="D191" s="2" t="s">
        <v>125</v>
      </c>
      <c r="E191" s="7">
        <f>IF($H$17=1,SpeakerCorrection1!E62,0)+IF($H$17=2,SpeakerCorrection2!E62,0)+IF($H$17=3,SpeakerCorrection3!E62,0)+IF($H$17=4,SpeakerCorrection4!E62,0)</f>
        <v>0</v>
      </c>
      <c r="F191" s="7">
        <f>IF($H$17=1,SpeakerCorrection1!F62,0)+IF($H$17=2,SpeakerCorrection2!F62,0)+IF($H$17=3,SpeakerCorrection3!F62,0)+IF($H$17=4,SpeakerCorrection4!F62,0)</f>
        <v>0</v>
      </c>
      <c r="G191" s="7">
        <f>IF($H$17=1,SpeakerCorrection1!G62,0)+IF($H$17=2,SpeakerCorrection2!G62,0)+IF($H$17=3,SpeakerCorrection3!G62,0)+IF($H$17=4,SpeakerCorrection4!G62,0)</f>
        <v>0</v>
      </c>
      <c r="H191" s="7">
        <f>IF($H$17=1,SpeakerCorrection1!H62,0)+IF($H$17=2,SpeakerCorrection2!H62,0)+IF($H$17=3,SpeakerCorrection3!H62,0)+IF($H$17=4,SpeakerCorrection4!H62,0)</f>
        <v>0</v>
      </c>
    </row>
    <row r="192" spans="1:8" ht="12" customHeight="1">
      <c r="A192" s="82"/>
      <c r="B192" s="4">
        <v>200</v>
      </c>
      <c r="C192" s="5" t="s">
        <v>130</v>
      </c>
      <c r="D192" s="2" t="s">
        <v>125</v>
      </c>
      <c r="E192" s="7">
        <f>IF($H$17=1,SpeakerCorrection1!E63,0)+IF($H$17=2,SpeakerCorrection2!E63,0)+IF($H$17=3,SpeakerCorrection3!E63,0)+IF($H$17=4,SpeakerCorrection4!E63,0)</f>
        <v>0</v>
      </c>
      <c r="F192" s="7">
        <f>IF($H$17=1,SpeakerCorrection1!F63,0)+IF($H$17=2,SpeakerCorrection2!F63,0)+IF($H$17=3,SpeakerCorrection3!F63,0)+IF($H$17=4,SpeakerCorrection4!F63,0)</f>
        <v>0</v>
      </c>
      <c r="G192" s="7">
        <f>IF($H$17=1,SpeakerCorrection1!G63,0)+IF($H$17=2,SpeakerCorrection2!G63,0)+IF($H$17=3,SpeakerCorrection3!G63,0)+IF($H$17=4,SpeakerCorrection4!G63,0)</f>
        <v>0</v>
      </c>
      <c r="H192" s="7">
        <f>IF($H$17=1,SpeakerCorrection1!H63,0)+IF($H$17=2,SpeakerCorrection2!H63,0)+IF($H$17=3,SpeakerCorrection3!H63,0)+IF($H$17=4,SpeakerCorrection4!H63,0)</f>
        <v>0</v>
      </c>
    </row>
    <row r="193" spans="1:8" ht="12" customHeight="1">
      <c r="A193" s="82"/>
      <c r="B193" s="4">
        <v>300</v>
      </c>
      <c r="C193" s="5" t="s">
        <v>130</v>
      </c>
      <c r="D193" s="2" t="s">
        <v>125</v>
      </c>
      <c r="E193" s="7">
        <f>IF($H$17=1,SpeakerCorrection1!E64,0)+IF($H$17=2,SpeakerCorrection2!E64,0)+IF($H$17=3,SpeakerCorrection3!E64,0)+IF($H$17=4,SpeakerCorrection4!E64,0)</f>
        <v>0</v>
      </c>
      <c r="F193" s="7">
        <f>IF($H$17=1,SpeakerCorrection1!F64,0)+IF($H$17=2,SpeakerCorrection2!F64,0)+IF($H$17=3,SpeakerCorrection3!F64,0)+IF($H$17=4,SpeakerCorrection4!F64,0)</f>
        <v>0</v>
      </c>
      <c r="G193" s="7">
        <f>IF($H$17=1,SpeakerCorrection1!G64,0)+IF($H$17=2,SpeakerCorrection2!G64,0)+IF($H$17=3,SpeakerCorrection3!G64,0)+IF($H$17=4,SpeakerCorrection4!G64,0)</f>
        <v>0</v>
      </c>
      <c r="H193" s="7">
        <f>IF($H$17=1,SpeakerCorrection1!H64,0)+IF($H$17=2,SpeakerCorrection2!H64,0)+IF($H$17=3,SpeakerCorrection3!H64,0)+IF($H$17=4,SpeakerCorrection4!H64,0)</f>
        <v>0</v>
      </c>
    </row>
    <row r="194" spans="1:8" ht="12" customHeight="1">
      <c r="A194" s="82"/>
      <c r="B194" s="4">
        <v>400</v>
      </c>
      <c r="C194" s="5" t="s">
        <v>130</v>
      </c>
      <c r="D194" s="2" t="s">
        <v>125</v>
      </c>
      <c r="E194" s="7">
        <f>IF($H$17=1,SpeakerCorrection1!E65,0)+IF($H$17=2,SpeakerCorrection2!E65,0)+IF($H$17=3,SpeakerCorrection3!E65,0)+IF($H$17=4,SpeakerCorrection4!E65,0)</f>
        <v>0</v>
      </c>
      <c r="F194" s="7">
        <f>IF($H$17=1,SpeakerCorrection1!F65,0)+IF($H$17=2,SpeakerCorrection2!F65,0)+IF($H$17=3,SpeakerCorrection3!F65,0)+IF($H$17=4,SpeakerCorrection4!F65,0)</f>
        <v>0</v>
      </c>
      <c r="G194" s="7">
        <f>IF($H$17=1,SpeakerCorrection1!G65,0)+IF($H$17=2,SpeakerCorrection2!G65,0)+IF($H$17=3,SpeakerCorrection3!G65,0)+IF($H$17=4,SpeakerCorrection4!G65,0)</f>
        <v>0</v>
      </c>
      <c r="H194" s="7">
        <f>IF($H$17=1,SpeakerCorrection1!H65,0)+IF($H$17=2,SpeakerCorrection2!H65,0)+IF($H$17=3,SpeakerCorrection3!H65,0)+IF($H$17=4,SpeakerCorrection4!H65,0)</f>
        <v>0</v>
      </c>
    </row>
    <row r="195" spans="1:8" ht="12" customHeight="1">
      <c r="A195" s="82"/>
      <c r="B195" s="4">
        <v>500</v>
      </c>
      <c r="C195" s="5" t="s">
        <v>130</v>
      </c>
      <c r="D195" s="2" t="s">
        <v>125</v>
      </c>
      <c r="E195" s="7">
        <f>IF($H$17=1,SpeakerCorrection1!E66,0)+IF($H$17=2,SpeakerCorrection2!E66,0)+IF($H$17=3,SpeakerCorrection3!E66,0)+IF($H$17=4,SpeakerCorrection4!E66,0)</f>
        <v>0</v>
      </c>
      <c r="F195" s="7">
        <f>IF($H$17=1,SpeakerCorrection1!F66,0)+IF($H$17=2,SpeakerCorrection2!F66,0)+IF($H$17=3,SpeakerCorrection3!F66,0)+IF($H$17=4,SpeakerCorrection4!F66,0)</f>
        <v>0</v>
      </c>
      <c r="G195" s="7">
        <f>IF($H$17=1,SpeakerCorrection1!G66,0)+IF($H$17=2,SpeakerCorrection2!G66,0)+IF($H$17=3,SpeakerCorrection3!G66,0)+IF($H$17=4,SpeakerCorrection4!G66,0)</f>
        <v>0</v>
      </c>
      <c r="H195" s="7">
        <f>IF($H$17=1,SpeakerCorrection1!H66,0)+IF($H$17=2,SpeakerCorrection2!H66,0)+IF($H$17=3,SpeakerCorrection3!H66,0)+IF($H$17=4,SpeakerCorrection4!H66,0)</f>
        <v>0</v>
      </c>
    </row>
    <row r="196" spans="1:8" ht="12" customHeight="1">
      <c r="A196" s="82"/>
      <c r="B196" s="4">
        <v>700</v>
      </c>
      <c r="C196" s="5" t="s">
        <v>130</v>
      </c>
      <c r="D196" s="2" t="s">
        <v>125</v>
      </c>
      <c r="E196" s="7">
        <f>IF($H$17=1,SpeakerCorrection1!E67,0)+IF($H$17=2,SpeakerCorrection2!E67,0)+IF($H$17=3,SpeakerCorrection3!E67,0)+IF($H$17=4,SpeakerCorrection4!E67,0)</f>
        <v>0</v>
      </c>
      <c r="F196" s="7">
        <f>IF($H$17=1,SpeakerCorrection1!F67,0)+IF($H$17=2,SpeakerCorrection2!F67,0)+IF($H$17=3,SpeakerCorrection3!F67,0)+IF($H$17=4,SpeakerCorrection4!F67,0)</f>
        <v>0</v>
      </c>
      <c r="G196" s="7">
        <f>IF($H$17=1,SpeakerCorrection1!G67,0)+IF($H$17=2,SpeakerCorrection2!G67,0)+IF($H$17=3,SpeakerCorrection3!G67,0)+IF($H$17=4,SpeakerCorrection4!G67,0)</f>
        <v>0</v>
      </c>
      <c r="H196" s="7">
        <f>IF($H$17=1,SpeakerCorrection1!H67,0)+IF($H$17=2,SpeakerCorrection2!H67,0)+IF($H$17=3,SpeakerCorrection3!H67,0)+IF($H$17=4,SpeakerCorrection4!H67,0)</f>
        <v>0</v>
      </c>
    </row>
    <row r="197" spans="1:8" ht="12" customHeight="1">
      <c r="A197" s="82"/>
      <c r="B197" s="4" t="s">
        <v>43</v>
      </c>
      <c r="C197" s="5" t="s">
        <v>130</v>
      </c>
      <c r="D197" s="2" t="s">
        <v>125</v>
      </c>
      <c r="E197" s="7">
        <f>IF($H$17=1,SpeakerCorrection1!E68,0)+IF($H$17=2,SpeakerCorrection2!E68,0)+IF($H$17=3,SpeakerCorrection3!E68,0)+IF($H$17=4,SpeakerCorrection4!E68,0)</f>
        <v>0</v>
      </c>
      <c r="F197" s="7">
        <f>IF($H$17=1,SpeakerCorrection1!F68,0)+IF($H$17=2,SpeakerCorrection2!F68,0)+IF($H$17=3,SpeakerCorrection3!F68,0)+IF($H$17=4,SpeakerCorrection4!F68,0)</f>
        <v>0</v>
      </c>
      <c r="G197" s="7">
        <f>IF($H$17=1,SpeakerCorrection1!G68,0)+IF($H$17=2,SpeakerCorrection2!G68,0)+IF($H$17=3,SpeakerCorrection3!G68,0)+IF($H$17=4,SpeakerCorrection4!G68,0)</f>
        <v>0</v>
      </c>
      <c r="H197" s="7">
        <f>IF($H$17=1,SpeakerCorrection1!H68,0)+IF($H$17=2,SpeakerCorrection2!H68,0)+IF($H$17=3,SpeakerCorrection3!H68,0)+IF($H$17=4,SpeakerCorrection4!H68,0)</f>
        <v>0</v>
      </c>
    </row>
    <row r="198" spans="1:8" ht="12" customHeight="1">
      <c r="A198" s="82"/>
      <c r="B198" s="4" t="s">
        <v>44</v>
      </c>
      <c r="C198" s="5" t="s">
        <v>130</v>
      </c>
      <c r="D198" s="2" t="s">
        <v>125</v>
      </c>
      <c r="E198" s="7">
        <f>IF($H$17=1,SpeakerCorrection1!E69,0)+IF($H$17=2,SpeakerCorrection2!E69,0)+IF($H$17=3,SpeakerCorrection3!E69,0)+IF($H$17=4,SpeakerCorrection4!E69,0)</f>
        <v>0</v>
      </c>
      <c r="F198" s="7">
        <f>IF($H$17=1,SpeakerCorrection1!F69,0)+IF($H$17=2,SpeakerCorrection2!F69,0)+IF($H$17=3,SpeakerCorrection3!F69,0)+IF($H$17=4,SpeakerCorrection4!F69,0)</f>
        <v>0</v>
      </c>
      <c r="G198" s="7">
        <f>IF($H$17=1,SpeakerCorrection1!G69,0)+IF($H$17=2,SpeakerCorrection2!G69,0)+IF($H$17=3,SpeakerCorrection3!G69,0)+IF($H$17=4,SpeakerCorrection4!G69,0)</f>
        <v>0</v>
      </c>
      <c r="H198" s="7">
        <f>IF($H$17=1,SpeakerCorrection1!H69,0)+IF($H$17=2,SpeakerCorrection2!H69,0)+IF($H$17=3,SpeakerCorrection3!H69,0)+IF($H$17=4,SpeakerCorrection4!H69,0)</f>
        <v>0</v>
      </c>
    </row>
    <row r="199" spans="1:8" ht="12" customHeight="1">
      <c r="A199" s="82"/>
      <c r="B199" s="4" t="s">
        <v>45</v>
      </c>
      <c r="C199" s="5" t="s">
        <v>130</v>
      </c>
      <c r="D199" s="2" t="s">
        <v>125</v>
      </c>
      <c r="E199" s="7">
        <f>IF($H$17=1,SpeakerCorrection1!E70,0)+IF($H$17=2,SpeakerCorrection2!E70,0)+IF($H$17=3,SpeakerCorrection3!E70,0)+IF($H$17=4,SpeakerCorrection4!E70,0)</f>
        <v>0</v>
      </c>
      <c r="F199" s="7">
        <f>IF($H$17=1,SpeakerCorrection1!F70,0)+IF($H$17=2,SpeakerCorrection2!F70,0)+IF($H$17=3,SpeakerCorrection3!F70,0)+IF($H$17=4,SpeakerCorrection4!F70,0)</f>
        <v>0</v>
      </c>
      <c r="G199" s="7">
        <f>IF($H$17=1,SpeakerCorrection1!G70,0)+IF($H$17=2,SpeakerCorrection2!G70,0)+IF($H$17=3,SpeakerCorrection3!G70,0)+IF($H$17=4,SpeakerCorrection4!G70,0)</f>
        <v>0</v>
      </c>
      <c r="H199" s="7">
        <f>IF($H$17=1,SpeakerCorrection1!H70,0)+IF($H$17=2,SpeakerCorrection2!H70,0)+IF($H$17=3,SpeakerCorrection3!H70,0)+IF($H$17=4,SpeakerCorrection4!H70,0)</f>
        <v>0</v>
      </c>
    </row>
    <row r="200" spans="1:8" ht="12" customHeight="1">
      <c r="A200" s="82"/>
      <c r="B200" s="4" t="s">
        <v>46</v>
      </c>
      <c r="C200" s="5" t="s">
        <v>130</v>
      </c>
      <c r="D200" s="2" t="s">
        <v>125</v>
      </c>
      <c r="E200" s="7">
        <f>IF($H$17=1,SpeakerCorrection1!E71,0)+IF($H$17=2,SpeakerCorrection2!E71,0)+IF($H$17=3,SpeakerCorrection3!E71,0)+IF($H$17=4,SpeakerCorrection4!E71,0)</f>
        <v>0</v>
      </c>
      <c r="F200" s="7">
        <f>IF($H$17=1,SpeakerCorrection1!F71,0)+IF($H$17=2,SpeakerCorrection2!F71,0)+IF($H$17=3,SpeakerCorrection3!F71,0)+IF($H$17=4,SpeakerCorrection4!F71,0)</f>
        <v>0</v>
      </c>
      <c r="G200" s="7">
        <f>IF($H$17=1,SpeakerCorrection1!G71,0)+IF($H$17=2,SpeakerCorrection2!G71,0)+IF($H$17=3,SpeakerCorrection3!G71,0)+IF($H$17=4,SpeakerCorrection4!G71,0)</f>
        <v>0</v>
      </c>
      <c r="H200" s="7">
        <f>IF($H$17=1,SpeakerCorrection1!H71,0)+IF($H$17=2,SpeakerCorrection2!H71,0)+IF($H$17=3,SpeakerCorrection3!H71,0)+IF($H$17=4,SpeakerCorrection4!H71,0)</f>
        <v>0</v>
      </c>
    </row>
    <row r="201" spans="1:8" ht="12" customHeight="1">
      <c r="A201" s="82"/>
      <c r="B201" s="4" t="s">
        <v>47</v>
      </c>
      <c r="C201" s="5" t="s">
        <v>130</v>
      </c>
      <c r="D201" s="2" t="s">
        <v>125</v>
      </c>
      <c r="E201" s="7">
        <f>IF($H$17=1,SpeakerCorrection1!E72,0)+IF($H$17=2,SpeakerCorrection2!E72,0)+IF($H$17=3,SpeakerCorrection3!E72,0)+IF($H$17=4,SpeakerCorrection4!E72,0)</f>
        <v>0</v>
      </c>
      <c r="F201" s="7">
        <f>IF($H$17=1,SpeakerCorrection1!F72,0)+IF($H$17=2,SpeakerCorrection2!F72,0)+IF($H$17=3,SpeakerCorrection3!F72,0)+IF($H$17=4,SpeakerCorrection4!F72,0)</f>
        <v>0</v>
      </c>
      <c r="G201" s="7">
        <f>IF($H$17=1,SpeakerCorrection1!G72,0)+IF($H$17=2,SpeakerCorrection2!G72,0)+IF($H$17=3,SpeakerCorrection3!G72,0)+IF($H$17=4,SpeakerCorrection4!G72,0)</f>
        <v>0</v>
      </c>
      <c r="H201" s="7">
        <f>IF($H$17=1,SpeakerCorrection1!H72,0)+IF($H$17=2,SpeakerCorrection2!H72,0)+IF($H$17=3,SpeakerCorrection3!H72,0)+IF($H$17=4,SpeakerCorrection4!H72,0)</f>
        <v>0</v>
      </c>
    </row>
    <row r="202" spans="1:8" ht="12" customHeight="1">
      <c r="A202" s="82"/>
      <c r="B202" s="4" t="s">
        <v>48</v>
      </c>
      <c r="C202" s="5" t="s">
        <v>130</v>
      </c>
      <c r="D202" s="2" t="s">
        <v>125</v>
      </c>
      <c r="E202" s="7">
        <f>IF($H$17=1,SpeakerCorrection1!E73,0)+IF($H$17=2,SpeakerCorrection2!E73,0)+IF($H$17=3,SpeakerCorrection3!E73,0)+IF($H$17=4,SpeakerCorrection4!E73,0)</f>
        <v>0</v>
      </c>
      <c r="F202" s="7">
        <f>IF($H$17=1,SpeakerCorrection1!F73,0)+IF($H$17=2,SpeakerCorrection2!F73,0)+IF($H$17=3,SpeakerCorrection3!F73,0)+IF($H$17=4,SpeakerCorrection4!F73,0)</f>
        <v>0</v>
      </c>
      <c r="G202" s="7">
        <f>IF($H$17=1,SpeakerCorrection1!G73,0)+IF($H$17=2,SpeakerCorrection2!G73,0)+IF($H$17=3,SpeakerCorrection3!G73,0)+IF($H$17=4,SpeakerCorrection4!G73,0)</f>
        <v>0</v>
      </c>
      <c r="H202" s="7">
        <f>IF($H$17=1,SpeakerCorrection1!H73,0)+IF($H$17=2,SpeakerCorrection2!H73,0)+IF($H$17=3,SpeakerCorrection3!H73,0)+IF($H$17=4,SpeakerCorrection4!H73,0)</f>
        <v>0</v>
      </c>
    </row>
    <row r="203" spans="1:8" ht="12" customHeight="1">
      <c r="A203" s="82"/>
      <c r="B203" s="4" t="s">
        <v>49</v>
      </c>
      <c r="C203" s="5" t="s">
        <v>130</v>
      </c>
      <c r="D203" s="2" t="s">
        <v>125</v>
      </c>
      <c r="E203" s="7">
        <f>IF($H$17=1,SpeakerCorrection1!E74,0)+IF($H$17=2,SpeakerCorrection2!E74,0)+IF($H$17=3,SpeakerCorrection3!E74,0)+IF($H$17=4,SpeakerCorrection4!E74,0)</f>
        <v>0</v>
      </c>
      <c r="F203" s="7">
        <f>IF($H$17=1,SpeakerCorrection1!F74,0)+IF($H$17=2,SpeakerCorrection2!F74,0)+IF($H$17=3,SpeakerCorrection3!F74,0)+IF($H$17=4,SpeakerCorrection4!F74,0)</f>
        <v>0</v>
      </c>
      <c r="G203" s="7">
        <f>IF($H$17=1,SpeakerCorrection1!G74,0)+IF($H$17=2,SpeakerCorrection2!G74,0)+IF($H$17=3,SpeakerCorrection3!G74,0)+IF($H$17=4,SpeakerCorrection4!G74,0)</f>
        <v>0</v>
      </c>
      <c r="H203" s="7">
        <f>IF($H$17=1,SpeakerCorrection1!H74,0)+IF($H$17=2,SpeakerCorrection2!H74,0)+IF($H$17=3,SpeakerCorrection3!H74,0)+IF($H$17=4,SpeakerCorrection4!H74,0)</f>
        <v>0</v>
      </c>
    </row>
    <row r="204" spans="1:8" ht="12" customHeight="1">
      <c r="A204" s="82"/>
      <c r="B204" s="4" t="s">
        <v>50</v>
      </c>
      <c r="C204" s="5" t="s">
        <v>130</v>
      </c>
      <c r="D204" s="2" t="s">
        <v>125</v>
      </c>
      <c r="E204" s="7">
        <f>IF($H$17=1,SpeakerCorrection1!E75,0)+IF($H$17=2,SpeakerCorrection2!E75,0)+IF($H$17=3,SpeakerCorrection3!E75,0)+IF($H$17=4,SpeakerCorrection4!E75,0)</f>
        <v>0</v>
      </c>
      <c r="F204" s="7">
        <f>IF($H$17=1,SpeakerCorrection1!F75,0)+IF($H$17=2,SpeakerCorrection2!F75,0)+IF($H$17=3,SpeakerCorrection3!F75,0)+IF($H$17=4,SpeakerCorrection4!F75,0)</f>
        <v>0</v>
      </c>
      <c r="G204" s="7">
        <f>IF($H$17=1,SpeakerCorrection1!G75,0)+IF($H$17=2,SpeakerCorrection2!G75,0)+IF($H$17=3,SpeakerCorrection3!G75,0)+IF($H$17=4,SpeakerCorrection4!G75,0)</f>
        <v>0</v>
      </c>
      <c r="H204" s="7">
        <f>IF($H$17=1,SpeakerCorrection1!H75,0)+IF($H$17=2,SpeakerCorrection2!H75,0)+IF($H$17=3,SpeakerCorrection3!H75,0)+IF($H$17=4,SpeakerCorrection4!H75,0)</f>
        <v>0</v>
      </c>
    </row>
    <row r="205" spans="1:8" ht="12" customHeight="1">
      <c r="A205" s="82"/>
      <c r="B205" s="4" t="s">
        <v>51</v>
      </c>
      <c r="C205" s="5" t="s">
        <v>130</v>
      </c>
      <c r="D205" s="2" t="s">
        <v>125</v>
      </c>
      <c r="E205" s="7">
        <f>IF($H$17=1,SpeakerCorrection1!E76,0)+IF($H$17=2,SpeakerCorrection2!E76,0)+IF($H$17=3,SpeakerCorrection3!E76,0)+IF($H$17=4,SpeakerCorrection4!E76,0)</f>
        <v>0</v>
      </c>
      <c r="F205" s="7">
        <f>IF($H$17=1,SpeakerCorrection1!F76,0)+IF($H$17=2,SpeakerCorrection2!F76,0)+IF($H$17=3,SpeakerCorrection3!F76,0)+IF($H$17=4,SpeakerCorrection4!F76,0)</f>
        <v>0</v>
      </c>
      <c r="G205" s="7">
        <f>IF($H$17=1,SpeakerCorrection1!G76,0)+IF($H$17=2,SpeakerCorrection2!G76,0)+IF($H$17=3,SpeakerCorrection3!G76,0)+IF($H$17=4,SpeakerCorrection4!G76,0)</f>
        <v>0</v>
      </c>
      <c r="H205" s="7">
        <f>IF($H$17=1,SpeakerCorrection1!H76,0)+IF($H$17=2,SpeakerCorrection2!H76,0)+IF($H$17=3,SpeakerCorrection3!H76,0)+IF($H$17=4,SpeakerCorrection4!H76,0)</f>
        <v>0</v>
      </c>
    </row>
    <row r="206" spans="1:8" ht="12" customHeight="1">
      <c r="A206" s="83"/>
      <c r="B206" s="4" t="s">
        <v>52</v>
      </c>
      <c r="C206" s="5" t="s">
        <v>130</v>
      </c>
      <c r="D206" s="2" t="s">
        <v>125</v>
      </c>
      <c r="E206" s="7">
        <f>IF($H$17=1,SpeakerCorrection1!E77,0)+IF($H$17=2,SpeakerCorrection2!E77,0)+IF($H$17=3,SpeakerCorrection3!E77,0)+IF($H$17=4,SpeakerCorrection4!E77,0)</f>
        <v>0</v>
      </c>
      <c r="F206" s="7">
        <f>IF($H$17=1,SpeakerCorrection1!F77,0)+IF($H$17=2,SpeakerCorrection2!F77,0)+IF($H$17=3,SpeakerCorrection3!F77,0)+IF($H$17=4,SpeakerCorrection4!F77,0)</f>
        <v>0</v>
      </c>
      <c r="G206" s="7">
        <f>IF($H$17=1,SpeakerCorrection1!G77,0)+IF($H$17=2,SpeakerCorrection2!G77,0)+IF($H$17=3,SpeakerCorrection3!G77,0)+IF($H$17=4,SpeakerCorrection4!G77,0)</f>
        <v>0</v>
      </c>
      <c r="H206" s="7">
        <f>IF($H$17=1,SpeakerCorrection1!H77,0)+IF($H$17=2,SpeakerCorrection2!H77,0)+IF($H$17=3,SpeakerCorrection3!H77,0)+IF($H$17=4,SpeakerCorrection4!H77,0)</f>
        <v>0</v>
      </c>
    </row>
    <row r="207" spans="1:8" ht="12" customHeight="1">
      <c r="A207" s="81" t="s">
        <v>123</v>
      </c>
      <c r="B207" s="4">
        <v>20</v>
      </c>
      <c r="C207" s="5" t="s">
        <v>130</v>
      </c>
      <c r="D207" s="2" t="s">
        <v>124</v>
      </c>
      <c r="E207" s="53">
        <f>IF($H$17=1,SpeakerCorrection1!E78,0)+IF($H$17=2,SpeakerCorrection2!E78,0)+IF($H$17=3,SpeakerCorrection3!E78,0)+IF($H$17=4,SpeakerCorrection4!E78,0)</f>
        <v>0</v>
      </c>
      <c r="F207" s="53">
        <f>IF($H$17=1,SpeakerCorrection1!F78,0)+IF($H$17=2,SpeakerCorrection2!F78,0)+IF($H$17=3,SpeakerCorrection3!F78,0)+IF($H$17=4,SpeakerCorrection4!F78,0)</f>
        <v>0</v>
      </c>
      <c r="G207" s="53">
        <f>IF($H$17=1,SpeakerCorrection1!G78,0)+IF($H$17=2,SpeakerCorrection2!G78,0)+IF($H$17=3,SpeakerCorrection3!G78,0)+IF($H$17=4,SpeakerCorrection4!G78,0)</f>
        <v>0</v>
      </c>
      <c r="H207" s="53">
        <f>IF($H$17=1,SpeakerCorrection1!H78,0)+IF($H$17=2,SpeakerCorrection2!H78,0)+IF($H$17=3,SpeakerCorrection3!H78,0)+IF($H$17=4,SpeakerCorrection4!H78,0)</f>
        <v>0</v>
      </c>
    </row>
    <row r="208" spans="1:8" ht="12" customHeight="1">
      <c r="A208" s="82"/>
      <c r="B208" s="4">
        <v>30</v>
      </c>
      <c r="C208" s="5" t="s">
        <v>130</v>
      </c>
      <c r="D208" s="2" t="s">
        <v>124</v>
      </c>
      <c r="E208" s="53">
        <f>IF($H$17=1,SpeakerCorrection1!E79,0)+IF($H$17=2,SpeakerCorrection2!E79,0)+IF($H$17=3,SpeakerCorrection3!E79,0)+IF($H$17=4,SpeakerCorrection4!E79,0)</f>
        <v>0</v>
      </c>
      <c r="F208" s="53">
        <f>IF($H$17=1,SpeakerCorrection1!F79,0)+IF($H$17=2,SpeakerCorrection2!F79,0)+IF($H$17=3,SpeakerCorrection3!F79,0)+IF($H$17=4,SpeakerCorrection4!F79,0)</f>
        <v>0</v>
      </c>
      <c r="G208" s="53">
        <f>IF($H$17=1,SpeakerCorrection1!G79,0)+IF($H$17=2,SpeakerCorrection2!G79,0)+IF($H$17=3,SpeakerCorrection3!G79,0)+IF($H$17=4,SpeakerCorrection4!G79,0)</f>
        <v>0</v>
      </c>
      <c r="H208" s="53">
        <f>IF($H$17=1,SpeakerCorrection1!H79,0)+IF($H$17=2,SpeakerCorrection2!H79,0)+IF($H$17=3,SpeakerCorrection3!H79,0)+IF($H$17=4,SpeakerCorrection4!H79,0)</f>
        <v>0</v>
      </c>
    </row>
    <row r="209" spans="1:8" ht="12" customHeight="1">
      <c r="A209" s="82"/>
      <c r="B209" s="4">
        <v>40</v>
      </c>
      <c r="C209" s="5" t="s">
        <v>130</v>
      </c>
      <c r="D209" s="2" t="s">
        <v>124</v>
      </c>
      <c r="E209" s="53">
        <f>IF($H$17=1,SpeakerCorrection1!E80,0)+IF($H$17=2,SpeakerCorrection2!E80,0)+IF($H$17=3,SpeakerCorrection3!E80,0)+IF($H$17=4,SpeakerCorrection4!E80,0)</f>
        <v>0</v>
      </c>
      <c r="F209" s="53">
        <f>IF($H$17=1,SpeakerCorrection1!F80,0)+IF($H$17=2,SpeakerCorrection2!F80,0)+IF($H$17=3,SpeakerCorrection3!F80,0)+IF($H$17=4,SpeakerCorrection4!F80,0)</f>
        <v>0</v>
      </c>
      <c r="G209" s="53">
        <f>IF($H$17=1,SpeakerCorrection1!G80,0)+IF($H$17=2,SpeakerCorrection2!G80,0)+IF($H$17=3,SpeakerCorrection3!G80,0)+IF($H$17=4,SpeakerCorrection4!G80,0)</f>
        <v>0</v>
      </c>
      <c r="H209" s="53">
        <f>IF($H$17=1,SpeakerCorrection1!H80,0)+IF($H$17=2,SpeakerCorrection2!H80,0)+IF($H$17=3,SpeakerCorrection3!H80,0)+IF($H$17=4,SpeakerCorrection4!H80,0)</f>
        <v>0</v>
      </c>
    </row>
    <row r="210" spans="1:8" ht="12" customHeight="1">
      <c r="A210" s="82"/>
      <c r="B210" s="4">
        <v>50</v>
      </c>
      <c r="C210" s="5" t="s">
        <v>130</v>
      </c>
      <c r="D210" s="2" t="s">
        <v>124</v>
      </c>
      <c r="E210" s="53">
        <f>IF($H$17=1,SpeakerCorrection1!E81,0)+IF($H$17=2,SpeakerCorrection2!E81,0)+IF($H$17=3,SpeakerCorrection3!E81,0)+IF($H$17=4,SpeakerCorrection4!E81,0)</f>
        <v>0</v>
      </c>
      <c r="F210" s="53">
        <f>IF($H$17=1,SpeakerCorrection1!F81,0)+IF($H$17=2,SpeakerCorrection2!F81,0)+IF($H$17=3,SpeakerCorrection3!F81,0)+IF($H$17=4,SpeakerCorrection4!F81,0)</f>
        <v>0</v>
      </c>
      <c r="G210" s="53">
        <f>IF($H$17=1,SpeakerCorrection1!G81,0)+IF($H$17=2,SpeakerCorrection2!G81,0)+IF($H$17=3,SpeakerCorrection3!G81,0)+IF($H$17=4,SpeakerCorrection4!G81,0)</f>
        <v>0</v>
      </c>
      <c r="H210" s="53">
        <f>IF($H$17=1,SpeakerCorrection1!H81,0)+IF($H$17=2,SpeakerCorrection2!H81,0)+IF($H$17=3,SpeakerCorrection3!H81,0)+IF($H$17=4,SpeakerCorrection4!H81,0)</f>
        <v>0</v>
      </c>
    </row>
    <row r="211" spans="1:8" ht="12" customHeight="1">
      <c r="A211" s="82"/>
      <c r="B211" s="4">
        <v>70</v>
      </c>
      <c r="C211" s="5" t="s">
        <v>130</v>
      </c>
      <c r="D211" s="2" t="s">
        <v>124</v>
      </c>
      <c r="E211" s="53">
        <f>IF($H$17=1,SpeakerCorrection1!E82,0)+IF($H$17=2,SpeakerCorrection2!E82,0)+IF($H$17=3,SpeakerCorrection3!E82,0)+IF($H$17=4,SpeakerCorrection4!E82,0)</f>
        <v>0</v>
      </c>
      <c r="F211" s="53">
        <f>IF($H$17=1,SpeakerCorrection1!F82,0)+IF($H$17=2,SpeakerCorrection2!F82,0)+IF($H$17=3,SpeakerCorrection3!F82,0)+IF($H$17=4,SpeakerCorrection4!F82,0)</f>
        <v>0</v>
      </c>
      <c r="G211" s="53">
        <f>IF($H$17=1,SpeakerCorrection1!G82,0)+IF($H$17=2,SpeakerCorrection2!G82,0)+IF($H$17=3,SpeakerCorrection3!G82,0)+IF($H$17=4,SpeakerCorrection4!G82,0)</f>
        <v>0</v>
      </c>
      <c r="H211" s="53">
        <f>IF($H$17=1,SpeakerCorrection1!H82,0)+IF($H$17=2,SpeakerCorrection2!H82,0)+IF($H$17=3,SpeakerCorrection3!H82,0)+IF($H$17=4,SpeakerCorrection4!H82,0)</f>
        <v>0</v>
      </c>
    </row>
    <row r="212" spans="1:8" ht="12" customHeight="1">
      <c r="A212" s="82"/>
      <c r="B212" s="4">
        <v>100</v>
      </c>
      <c r="C212" s="5" t="s">
        <v>130</v>
      </c>
      <c r="D212" s="2" t="s">
        <v>124</v>
      </c>
      <c r="E212" s="53">
        <f>IF($H$17=1,SpeakerCorrection1!E83,0)+IF($H$17=2,SpeakerCorrection2!E83,0)+IF($H$17=3,SpeakerCorrection3!E83,0)+IF($H$17=4,SpeakerCorrection4!E83,0)</f>
        <v>0</v>
      </c>
      <c r="F212" s="53">
        <f>IF($H$17=1,SpeakerCorrection1!F83,0)+IF($H$17=2,SpeakerCorrection2!F83,0)+IF($H$17=3,SpeakerCorrection3!F83,0)+IF($H$17=4,SpeakerCorrection4!F83,0)</f>
        <v>0</v>
      </c>
      <c r="G212" s="53">
        <f>IF($H$17=1,SpeakerCorrection1!G83,0)+IF($H$17=2,SpeakerCorrection2!G83,0)+IF($H$17=3,SpeakerCorrection3!G83,0)+IF($H$17=4,SpeakerCorrection4!G83,0)</f>
        <v>0</v>
      </c>
      <c r="H212" s="53">
        <f>IF($H$17=1,SpeakerCorrection1!H83,0)+IF($H$17=2,SpeakerCorrection2!H83,0)+IF($H$17=3,SpeakerCorrection3!H83,0)+IF($H$17=4,SpeakerCorrection4!H83,0)</f>
        <v>0</v>
      </c>
    </row>
    <row r="213" spans="1:8" ht="12" customHeight="1">
      <c r="A213" s="82"/>
      <c r="B213" s="4">
        <v>150</v>
      </c>
      <c r="C213" s="5" t="s">
        <v>130</v>
      </c>
      <c r="D213" s="2" t="s">
        <v>124</v>
      </c>
      <c r="E213" s="53">
        <f>IF($H$17=1,SpeakerCorrection1!E84,0)+IF($H$17=2,SpeakerCorrection2!E84,0)+IF($H$17=3,SpeakerCorrection3!E84,0)+IF($H$17=4,SpeakerCorrection4!E84,0)</f>
        <v>0</v>
      </c>
      <c r="F213" s="53">
        <f>IF($H$17=1,SpeakerCorrection1!F84,0)+IF($H$17=2,SpeakerCorrection2!F84,0)+IF($H$17=3,SpeakerCorrection3!F84,0)+IF($H$17=4,SpeakerCorrection4!F84,0)</f>
        <v>0</v>
      </c>
      <c r="G213" s="53">
        <f>IF($H$17=1,SpeakerCorrection1!G84,0)+IF($H$17=2,SpeakerCorrection2!G84,0)+IF($H$17=3,SpeakerCorrection3!G84,0)+IF($H$17=4,SpeakerCorrection4!G84,0)</f>
        <v>0</v>
      </c>
      <c r="H213" s="53">
        <f>IF($H$17=1,SpeakerCorrection1!H84,0)+IF($H$17=2,SpeakerCorrection2!H84,0)+IF($H$17=3,SpeakerCorrection3!H84,0)+IF($H$17=4,SpeakerCorrection4!H84,0)</f>
        <v>0</v>
      </c>
    </row>
    <row r="214" spans="1:8" ht="12" customHeight="1">
      <c r="A214" s="82"/>
      <c r="B214" s="4">
        <v>200</v>
      </c>
      <c r="C214" s="5" t="s">
        <v>130</v>
      </c>
      <c r="D214" s="2" t="s">
        <v>124</v>
      </c>
      <c r="E214" s="53">
        <f>IF($H$17=1,SpeakerCorrection1!E85,0)+IF($H$17=2,SpeakerCorrection2!E85,0)+IF($H$17=3,SpeakerCorrection3!E85,0)+IF($H$17=4,SpeakerCorrection4!E85,0)</f>
        <v>0</v>
      </c>
      <c r="F214" s="53">
        <f>IF($H$17=1,SpeakerCorrection1!F85,0)+IF($H$17=2,SpeakerCorrection2!F85,0)+IF($H$17=3,SpeakerCorrection3!F85,0)+IF($H$17=4,SpeakerCorrection4!F85,0)</f>
        <v>0</v>
      </c>
      <c r="G214" s="53">
        <f>IF($H$17=1,SpeakerCorrection1!G85,0)+IF($H$17=2,SpeakerCorrection2!G85,0)+IF($H$17=3,SpeakerCorrection3!G85,0)+IF($H$17=4,SpeakerCorrection4!G85,0)</f>
        <v>0</v>
      </c>
      <c r="H214" s="53">
        <f>IF($H$17=1,SpeakerCorrection1!H85,0)+IF($H$17=2,SpeakerCorrection2!H85,0)+IF($H$17=3,SpeakerCorrection3!H85,0)+IF($H$17=4,SpeakerCorrection4!H85,0)</f>
        <v>0</v>
      </c>
    </row>
    <row r="215" spans="1:8" ht="12" customHeight="1">
      <c r="A215" s="82"/>
      <c r="B215" s="4">
        <v>300</v>
      </c>
      <c r="C215" s="5" t="s">
        <v>130</v>
      </c>
      <c r="D215" s="2" t="s">
        <v>124</v>
      </c>
      <c r="E215" s="53">
        <f>IF($H$17=1,SpeakerCorrection1!E86,0)+IF($H$17=2,SpeakerCorrection2!E86,0)+IF($H$17=3,SpeakerCorrection3!E86,0)+IF($H$17=4,SpeakerCorrection4!E86,0)</f>
        <v>0</v>
      </c>
      <c r="F215" s="53">
        <f>IF($H$17=1,SpeakerCorrection1!F86,0)+IF($H$17=2,SpeakerCorrection2!F86,0)+IF($H$17=3,SpeakerCorrection3!F86,0)+IF($H$17=4,SpeakerCorrection4!F86,0)</f>
        <v>0</v>
      </c>
      <c r="G215" s="53">
        <f>IF($H$17=1,SpeakerCorrection1!G86,0)+IF($H$17=2,SpeakerCorrection2!G86,0)+IF($H$17=3,SpeakerCorrection3!G86,0)+IF($H$17=4,SpeakerCorrection4!G86,0)</f>
        <v>0</v>
      </c>
      <c r="H215" s="53">
        <f>IF($H$17=1,SpeakerCorrection1!H86,0)+IF($H$17=2,SpeakerCorrection2!H86,0)+IF($H$17=3,SpeakerCorrection3!H86,0)+IF($H$17=4,SpeakerCorrection4!H86,0)</f>
        <v>0</v>
      </c>
    </row>
    <row r="216" spans="1:8" ht="12" customHeight="1">
      <c r="A216" s="82"/>
      <c r="B216" s="4">
        <v>400</v>
      </c>
      <c r="C216" s="5" t="s">
        <v>130</v>
      </c>
      <c r="D216" s="2" t="s">
        <v>124</v>
      </c>
      <c r="E216" s="53">
        <f>IF($H$17=1,SpeakerCorrection1!E87,0)+IF($H$17=2,SpeakerCorrection2!E87,0)+IF($H$17=3,SpeakerCorrection3!E87,0)+IF($H$17=4,SpeakerCorrection4!E87,0)</f>
        <v>0</v>
      </c>
      <c r="F216" s="53">
        <f>IF($H$17=1,SpeakerCorrection1!F87,0)+IF($H$17=2,SpeakerCorrection2!F87,0)+IF($H$17=3,SpeakerCorrection3!F87,0)+IF($H$17=4,SpeakerCorrection4!F87,0)</f>
        <v>0</v>
      </c>
      <c r="G216" s="53">
        <f>IF($H$17=1,SpeakerCorrection1!G87,0)+IF($H$17=2,SpeakerCorrection2!G87,0)+IF($H$17=3,SpeakerCorrection3!G87,0)+IF($H$17=4,SpeakerCorrection4!G87,0)</f>
        <v>0</v>
      </c>
      <c r="H216" s="53">
        <f>IF($H$17=1,SpeakerCorrection1!H87,0)+IF($H$17=2,SpeakerCorrection2!H87,0)+IF($H$17=3,SpeakerCorrection3!H87,0)+IF($H$17=4,SpeakerCorrection4!H87,0)</f>
        <v>0</v>
      </c>
    </row>
    <row r="217" spans="1:8" ht="12" customHeight="1">
      <c r="A217" s="82"/>
      <c r="B217" s="4">
        <v>500</v>
      </c>
      <c r="C217" s="5" t="s">
        <v>130</v>
      </c>
      <c r="D217" s="2" t="s">
        <v>124</v>
      </c>
      <c r="E217" s="53">
        <f>IF($H$17=1,SpeakerCorrection1!E88,0)+IF($H$17=2,SpeakerCorrection2!E88,0)+IF($H$17=3,SpeakerCorrection3!E88,0)+IF($H$17=4,SpeakerCorrection4!E88,0)</f>
        <v>0</v>
      </c>
      <c r="F217" s="53">
        <f>IF($H$17=1,SpeakerCorrection1!F88,0)+IF($H$17=2,SpeakerCorrection2!F88,0)+IF($H$17=3,SpeakerCorrection3!F88,0)+IF($H$17=4,SpeakerCorrection4!F88,0)</f>
        <v>0</v>
      </c>
      <c r="G217" s="53">
        <f>IF($H$17=1,SpeakerCorrection1!G88,0)+IF($H$17=2,SpeakerCorrection2!G88,0)+IF($H$17=3,SpeakerCorrection3!G88,0)+IF($H$17=4,SpeakerCorrection4!G88,0)</f>
        <v>0</v>
      </c>
      <c r="H217" s="53">
        <f>IF($H$17=1,SpeakerCorrection1!H88,0)+IF($H$17=2,SpeakerCorrection2!H88,0)+IF($H$17=3,SpeakerCorrection3!H88,0)+IF($H$17=4,SpeakerCorrection4!H88,0)</f>
        <v>0</v>
      </c>
    </row>
    <row r="218" spans="1:8" ht="12" customHeight="1">
      <c r="A218" s="82"/>
      <c r="B218" s="4">
        <v>700</v>
      </c>
      <c r="C218" s="5" t="s">
        <v>130</v>
      </c>
      <c r="D218" s="2" t="s">
        <v>124</v>
      </c>
      <c r="E218" s="53">
        <f>IF($H$17=1,SpeakerCorrection1!E89,0)+IF($H$17=2,SpeakerCorrection2!E89,0)+IF($H$17=3,SpeakerCorrection3!E89,0)+IF($H$17=4,SpeakerCorrection4!E89,0)</f>
        <v>0</v>
      </c>
      <c r="F218" s="53">
        <f>IF($H$17=1,SpeakerCorrection1!F89,0)+IF($H$17=2,SpeakerCorrection2!F89,0)+IF($H$17=3,SpeakerCorrection3!F89,0)+IF($H$17=4,SpeakerCorrection4!F89,0)</f>
        <v>0</v>
      </c>
      <c r="G218" s="53">
        <f>IF($H$17=1,SpeakerCorrection1!G89,0)+IF($H$17=2,SpeakerCorrection2!G89,0)+IF($H$17=3,SpeakerCorrection3!G89,0)+IF($H$17=4,SpeakerCorrection4!G89,0)</f>
        <v>0</v>
      </c>
      <c r="H218" s="53">
        <f>IF($H$17=1,SpeakerCorrection1!H89,0)+IF($H$17=2,SpeakerCorrection2!H89,0)+IF($H$17=3,SpeakerCorrection3!H89,0)+IF($H$17=4,SpeakerCorrection4!H89,0)</f>
        <v>0</v>
      </c>
    </row>
    <row r="219" spans="1:8" ht="12" customHeight="1">
      <c r="A219" s="82"/>
      <c r="B219" s="4" t="s">
        <v>21</v>
      </c>
      <c r="C219" s="5" t="s">
        <v>130</v>
      </c>
      <c r="D219" s="2" t="s">
        <v>124</v>
      </c>
      <c r="E219" s="53">
        <f>IF($H$17=1,SpeakerCorrection1!E90,0)+IF($H$17=2,SpeakerCorrection2!E90,0)+IF($H$17=3,SpeakerCorrection3!E90,0)+IF($H$17=4,SpeakerCorrection4!E90,0)</f>
        <v>0</v>
      </c>
      <c r="F219" s="53">
        <f>IF($H$17=1,SpeakerCorrection1!F90,0)+IF($H$17=2,SpeakerCorrection2!F90,0)+IF($H$17=3,SpeakerCorrection3!F90,0)+IF($H$17=4,SpeakerCorrection4!F90,0)</f>
        <v>0</v>
      </c>
      <c r="G219" s="53">
        <f>IF($H$17=1,SpeakerCorrection1!G90,0)+IF($H$17=2,SpeakerCorrection2!G90,0)+IF($H$17=3,SpeakerCorrection3!G90,0)+IF($H$17=4,SpeakerCorrection4!G90,0)</f>
        <v>0</v>
      </c>
      <c r="H219" s="53">
        <f>IF($H$17=1,SpeakerCorrection1!H90,0)+IF($H$17=2,SpeakerCorrection2!H90,0)+IF($H$17=3,SpeakerCorrection3!H90,0)+IF($H$17=4,SpeakerCorrection4!H90,0)</f>
        <v>0</v>
      </c>
    </row>
    <row r="220" spans="1:8" ht="12" customHeight="1">
      <c r="A220" s="82"/>
      <c r="B220" s="4" t="s">
        <v>22</v>
      </c>
      <c r="C220" s="5" t="s">
        <v>130</v>
      </c>
      <c r="D220" s="2" t="s">
        <v>124</v>
      </c>
      <c r="E220" s="53">
        <f>IF($H$17=1,SpeakerCorrection1!E91,0)+IF($H$17=2,SpeakerCorrection2!E91,0)+IF($H$17=3,SpeakerCorrection3!E91,0)+IF($H$17=4,SpeakerCorrection4!E91,0)</f>
        <v>0</v>
      </c>
      <c r="F220" s="53">
        <f>IF($H$17=1,SpeakerCorrection1!F91,0)+IF($H$17=2,SpeakerCorrection2!F91,0)+IF($H$17=3,SpeakerCorrection3!F91,0)+IF($H$17=4,SpeakerCorrection4!F91,0)</f>
        <v>0</v>
      </c>
      <c r="G220" s="53">
        <f>IF($H$17=1,SpeakerCorrection1!G91,0)+IF($H$17=2,SpeakerCorrection2!G91,0)+IF($H$17=3,SpeakerCorrection3!G91,0)+IF($H$17=4,SpeakerCorrection4!G91,0)</f>
        <v>0</v>
      </c>
      <c r="H220" s="53">
        <f>IF($H$17=1,SpeakerCorrection1!H91,0)+IF($H$17=2,SpeakerCorrection2!H91,0)+IF($H$17=3,SpeakerCorrection3!H91,0)+IF($H$17=4,SpeakerCorrection4!H91,0)</f>
        <v>0</v>
      </c>
    </row>
    <row r="221" spans="1:8" ht="12" customHeight="1">
      <c r="A221" s="82"/>
      <c r="B221" s="4" t="s">
        <v>23</v>
      </c>
      <c r="C221" s="5" t="s">
        <v>130</v>
      </c>
      <c r="D221" s="2" t="s">
        <v>124</v>
      </c>
      <c r="E221" s="53">
        <f>IF($H$17=1,SpeakerCorrection1!E92,0)+IF($H$17=2,SpeakerCorrection2!E92,0)+IF($H$17=3,SpeakerCorrection3!E92,0)+IF($H$17=4,SpeakerCorrection4!E92,0)</f>
        <v>0</v>
      </c>
      <c r="F221" s="53">
        <f>IF($H$17=1,SpeakerCorrection1!F92,0)+IF($H$17=2,SpeakerCorrection2!F92,0)+IF($H$17=3,SpeakerCorrection3!F92,0)+IF($H$17=4,SpeakerCorrection4!F92,0)</f>
        <v>0</v>
      </c>
      <c r="G221" s="53">
        <f>IF($H$17=1,SpeakerCorrection1!G92,0)+IF($H$17=2,SpeakerCorrection2!G92,0)+IF($H$17=3,SpeakerCorrection3!G92,0)+IF($H$17=4,SpeakerCorrection4!G92,0)</f>
        <v>0</v>
      </c>
      <c r="H221" s="53">
        <f>IF($H$17=1,SpeakerCorrection1!H92,0)+IF($H$17=2,SpeakerCorrection2!H92,0)+IF($H$17=3,SpeakerCorrection3!H92,0)+IF($H$17=4,SpeakerCorrection4!H92,0)</f>
        <v>0</v>
      </c>
    </row>
    <row r="222" spans="1:8" ht="12" customHeight="1">
      <c r="A222" s="82"/>
      <c r="B222" s="4" t="s">
        <v>24</v>
      </c>
      <c r="C222" s="5" t="s">
        <v>130</v>
      </c>
      <c r="D222" s="2" t="s">
        <v>124</v>
      </c>
      <c r="E222" s="53">
        <f>IF($H$17=1,SpeakerCorrection1!E93,0)+IF($H$17=2,SpeakerCorrection2!E93,0)+IF($H$17=3,SpeakerCorrection3!E93,0)+IF($H$17=4,SpeakerCorrection4!E93,0)</f>
        <v>0</v>
      </c>
      <c r="F222" s="53">
        <f>IF($H$17=1,SpeakerCorrection1!F93,0)+IF($H$17=2,SpeakerCorrection2!F93,0)+IF($H$17=3,SpeakerCorrection3!F93,0)+IF($H$17=4,SpeakerCorrection4!F93,0)</f>
        <v>0</v>
      </c>
      <c r="G222" s="53">
        <f>IF($H$17=1,SpeakerCorrection1!G93,0)+IF($H$17=2,SpeakerCorrection2!G93,0)+IF($H$17=3,SpeakerCorrection3!G93,0)+IF($H$17=4,SpeakerCorrection4!G93,0)</f>
        <v>0</v>
      </c>
      <c r="H222" s="53">
        <f>IF($H$17=1,SpeakerCorrection1!H93,0)+IF($H$17=2,SpeakerCorrection2!H93,0)+IF($H$17=3,SpeakerCorrection3!H93,0)+IF($H$17=4,SpeakerCorrection4!H93,0)</f>
        <v>0</v>
      </c>
    </row>
    <row r="223" spans="1:8" ht="12" customHeight="1">
      <c r="A223" s="82"/>
      <c r="B223" s="4" t="s">
        <v>25</v>
      </c>
      <c r="C223" s="5" t="s">
        <v>130</v>
      </c>
      <c r="D223" s="2" t="s">
        <v>124</v>
      </c>
      <c r="E223" s="53">
        <f>IF($H$17=1,SpeakerCorrection1!E94,0)+IF($H$17=2,SpeakerCorrection2!E94,0)+IF($H$17=3,SpeakerCorrection3!E94,0)+IF($H$17=4,SpeakerCorrection4!E94,0)</f>
        <v>0</v>
      </c>
      <c r="F223" s="53">
        <f>IF($H$17=1,SpeakerCorrection1!F94,0)+IF($H$17=2,SpeakerCorrection2!F94,0)+IF($H$17=3,SpeakerCorrection3!F94,0)+IF($H$17=4,SpeakerCorrection4!F94,0)</f>
        <v>0</v>
      </c>
      <c r="G223" s="53">
        <f>IF($H$17=1,SpeakerCorrection1!G94,0)+IF($H$17=2,SpeakerCorrection2!G94,0)+IF($H$17=3,SpeakerCorrection3!G94,0)+IF($H$17=4,SpeakerCorrection4!G94,0)</f>
        <v>0</v>
      </c>
      <c r="H223" s="53">
        <f>IF($H$17=1,SpeakerCorrection1!H94,0)+IF($H$17=2,SpeakerCorrection2!H94,0)+IF($H$17=3,SpeakerCorrection3!H94,0)+IF($H$17=4,SpeakerCorrection4!H94,0)</f>
        <v>0</v>
      </c>
    </row>
    <row r="224" spans="1:8" ht="12" customHeight="1">
      <c r="A224" s="82"/>
      <c r="B224" s="4" t="s">
        <v>26</v>
      </c>
      <c r="C224" s="5" t="s">
        <v>130</v>
      </c>
      <c r="D224" s="2" t="s">
        <v>124</v>
      </c>
      <c r="E224" s="53">
        <f>IF($H$17=1,SpeakerCorrection1!E95,0)+IF($H$17=2,SpeakerCorrection2!E95,0)+IF($H$17=3,SpeakerCorrection3!E95,0)+IF($H$17=4,SpeakerCorrection4!E95,0)</f>
        <v>0</v>
      </c>
      <c r="F224" s="53">
        <f>IF($H$17=1,SpeakerCorrection1!F95,0)+IF($H$17=2,SpeakerCorrection2!F95,0)+IF($H$17=3,SpeakerCorrection3!F95,0)+IF($H$17=4,SpeakerCorrection4!F95,0)</f>
        <v>0</v>
      </c>
      <c r="G224" s="53">
        <f>IF($H$17=1,SpeakerCorrection1!G95,0)+IF($H$17=2,SpeakerCorrection2!G95,0)+IF($H$17=3,SpeakerCorrection3!G95,0)+IF($H$17=4,SpeakerCorrection4!G95,0)</f>
        <v>0</v>
      </c>
      <c r="H224" s="53">
        <f>IF($H$17=1,SpeakerCorrection1!H95,0)+IF($H$17=2,SpeakerCorrection2!H95,0)+IF($H$17=3,SpeakerCorrection3!H95,0)+IF($H$17=4,SpeakerCorrection4!H95,0)</f>
        <v>0</v>
      </c>
    </row>
    <row r="225" spans="1:8" ht="12" customHeight="1">
      <c r="A225" s="82"/>
      <c r="B225" s="4" t="s">
        <v>27</v>
      </c>
      <c r="C225" s="5" t="s">
        <v>130</v>
      </c>
      <c r="D225" s="2" t="s">
        <v>124</v>
      </c>
      <c r="E225" s="53">
        <f>IF($H$17=1,SpeakerCorrection1!E96,0)+IF($H$17=2,SpeakerCorrection2!E96,0)+IF($H$17=3,SpeakerCorrection3!E96,0)+IF($H$17=4,SpeakerCorrection4!E96,0)</f>
        <v>0</v>
      </c>
      <c r="F225" s="53">
        <f>IF($H$17=1,SpeakerCorrection1!F96,0)+IF($H$17=2,SpeakerCorrection2!F96,0)+IF($H$17=3,SpeakerCorrection3!F96,0)+IF($H$17=4,SpeakerCorrection4!F96,0)</f>
        <v>0</v>
      </c>
      <c r="G225" s="53">
        <f>IF($H$17=1,SpeakerCorrection1!G96,0)+IF($H$17=2,SpeakerCorrection2!G96,0)+IF($H$17=3,SpeakerCorrection3!G96,0)+IF($H$17=4,SpeakerCorrection4!G96,0)</f>
        <v>0</v>
      </c>
      <c r="H225" s="53">
        <f>IF($H$17=1,SpeakerCorrection1!H96,0)+IF($H$17=2,SpeakerCorrection2!H96,0)+IF($H$17=3,SpeakerCorrection3!H96,0)+IF($H$17=4,SpeakerCorrection4!H96,0)</f>
        <v>0</v>
      </c>
    </row>
    <row r="226" spans="1:8" ht="12" customHeight="1">
      <c r="A226" s="82"/>
      <c r="B226" s="4" t="s">
        <v>28</v>
      </c>
      <c r="C226" s="5" t="s">
        <v>130</v>
      </c>
      <c r="D226" s="2" t="s">
        <v>124</v>
      </c>
      <c r="E226" s="53">
        <f>IF($H$17=1,SpeakerCorrection1!E97,0)+IF($H$17=2,SpeakerCorrection2!E97,0)+IF($H$17=3,SpeakerCorrection3!E97,0)+IF($H$17=4,SpeakerCorrection4!E97,0)</f>
        <v>0</v>
      </c>
      <c r="F226" s="53">
        <f>IF($H$17=1,SpeakerCorrection1!F97,0)+IF($H$17=2,SpeakerCorrection2!F97,0)+IF($H$17=3,SpeakerCorrection3!F97,0)+IF($H$17=4,SpeakerCorrection4!F97,0)</f>
        <v>0</v>
      </c>
      <c r="G226" s="53">
        <f>IF($H$17=1,SpeakerCorrection1!G97,0)+IF($H$17=2,SpeakerCorrection2!G97,0)+IF($H$17=3,SpeakerCorrection3!G97,0)+IF($H$17=4,SpeakerCorrection4!G97,0)</f>
        <v>0</v>
      </c>
      <c r="H226" s="53">
        <f>IF($H$17=1,SpeakerCorrection1!H97,0)+IF($H$17=2,SpeakerCorrection2!H97,0)+IF($H$17=3,SpeakerCorrection3!H97,0)+IF($H$17=4,SpeakerCorrection4!H97,0)</f>
        <v>0</v>
      </c>
    </row>
    <row r="227" spans="1:8" ht="12" customHeight="1">
      <c r="A227" s="82"/>
      <c r="B227" s="4" t="s">
        <v>29</v>
      </c>
      <c r="C227" s="5" t="s">
        <v>130</v>
      </c>
      <c r="D227" s="2" t="s">
        <v>124</v>
      </c>
      <c r="E227" s="53">
        <f>IF($H$17=1,SpeakerCorrection1!E98,0)+IF($H$17=2,SpeakerCorrection2!E98,0)+IF($H$17=3,SpeakerCorrection3!E98,0)+IF($H$17=4,SpeakerCorrection4!E98,0)</f>
        <v>0</v>
      </c>
      <c r="F227" s="53">
        <f>IF($H$17=1,SpeakerCorrection1!F98,0)+IF($H$17=2,SpeakerCorrection2!F98,0)+IF($H$17=3,SpeakerCorrection3!F98,0)+IF($H$17=4,SpeakerCorrection4!F98,0)</f>
        <v>0</v>
      </c>
      <c r="G227" s="53">
        <f>IF($H$17=1,SpeakerCorrection1!G98,0)+IF($H$17=2,SpeakerCorrection2!G98,0)+IF($H$17=3,SpeakerCorrection3!G98,0)+IF($H$17=4,SpeakerCorrection4!G98,0)</f>
        <v>0</v>
      </c>
      <c r="H227" s="53">
        <f>IF($H$17=1,SpeakerCorrection1!H98,0)+IF($H$17=2,SpeakerCorrection2!H98,0)+IF($H$17=3,SpeakerCorrection3!H98,0)+IF($H$17=4,SpeakerCorrection4!H98,0)</f>
        <v>0</v>
      </c>
    </row>
    <row r="228" spans="1:8" ht="12" customHeight="1">
      <c r="A228" s="83"/>
      <c r="B228" s="4" t="s">
        <v>30</v>
      </c>
      <c r="C228" s="5" t="s">
        <v>130</v>
      </c>
      <c r="D228" s="2" t="s">
        <v>124</v>
      </c>
      <c r="E228" s="53">
        <f>IF($H$17=1,SpeakerCorrection1!E99,0)+IF($H$17=2,SpeakerCorrection2!E99,0)+IF($H$17=3,SpeakerCorrection3!E99,0)+IF($H$17=4,SpeakerCorrection4!E99,0)</f>
        <v>0</v>
      </c>
      <c r="F228" s="53">
        <f>IF($H$17=1,SpeakerCorrection1!F99,0)+IF($H$17=2,SpeakerCorrection2!F99,0)+IF($H$17=3,SpeakerCorrection3!F99,0)+IF($H$17=4,SpeakerCorrection4!F99,0)</f>
        <v>0</v>
      </c>
      <c r="G228" s="53">
        <f>IF($H$17=1,SpeakerCorrection1!G99,0)+IF($H$17=2,SpeakerCorrection2!G99,0)+IF($H$17=3,SpeakerCorrection3!G99,0)+IF($H$17=4,SpeakerCorrection4!G99,0)</f>
        <v>0</v>
      </c>
      <c r="H228" s="53">
        <f>IF($H$17=1,SpeakerCorrection1!H99,0)+IF($H$17=2,SpeakerCorrection2!H99,0)+IF($H$17=3,SpeakerCorrection3!H99,0)+IF($H$17=4,SpeakerCorrection4!H99,0)</f>
        <v>0</v>
      </c>
    </row>
  </sheetData>
  <sheetProtection password="BF23" sheet="1" objects="1" scenarios="1"/>
  <mergeCells count="20">
    <mergeCell ref="A1:F1"/>
    <mergeCell ref="A75:A96"/>
    <mergeCell ref="B20:C20"/>
    <mergeCell ref="A18:A19"/>
    <mergeCell ref="A23:A30"/>
    <mergeCell ref="A119:A140"/>
    <mergeCell ref="A141:A162"/>
    <mergeCell ref="A163:A184"/>
    <mergeCell ref="A53:A74"/>
    <mergeCell ref="A97:A118"/>
    <mergeCell ref="A31:A37"/>
    <mergeCell ref="A38:A45"/>
    <mergeCell ref="A46:A52"/>
    <mergeCell ref="G16:H16"/>
    <mergeCell ref="I29:L29"/>
    <mergeCell ref="M29:M30"/>
    <mergeCell ref="M31:M52"/>
    <mergeCell ref="M53:M74"/>
    <mergeCell ref="A185:A206"/>
    <mergeCell ref="A207:A228"/>
  </mergeCells>
  <printOptions horizontalCentered="1"/>
  <pageMargins left="0.7874015748031497" right="0.3937007874015748" top="0.787401574803149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87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19.375" style="0" customWidth="1"/>
    <col min="2" max="2" width="14.125" style="0" customWidth="1"/>
    <col min="3" max="4" width="5.875" style="0" customWidth="1"/>
    <col min="5" max="16" width="11.125" style="0" customWidth="1"/>
  </cols>
  <sheetData>
    <row r="1" spans="1:9" ht="15" customHeight="1">
      <c r="A1" s="103" t="s">
        <v>208</v>
      </c>
      <c r="B1" s="104"/>
      <c r="C1" s="104"/>
      <c r="D1" s="104"/>
      <c r="E1" s="104"/>
      <c r="F1" s="105"/>
      <c r="G1" s="34" t="s">
        <v>150</v>
      </c>
      <c r="H1" s="35" t="s">
        <v>149</v>
      </c>
      <c r="I1" s="65" t="s">
        <v>135</v>
      </c>
    </row>
    <row r="2" spans="1:16" ht="15" customHeight="1">
      <c r="A2" s="24"/>
      <c r="B2" s="25"/>
      <c r="C2" s="25"/>
      <c r="D2" s="25"/>
      <c r="E2" s="25"/>
      <c r="F2" s="25"/>
      <c r="G2" s="25"/>
      <c r="H2" s="26"/>
      <c r="I2" s="66" t="s">
        <v>199</v>
      </c>
      <c r="J2" s="1"/>
      <c r="K2" s="1"/>
      <c r="L2" s="1"/>
      <c r="M2" s="1"/>
      <c r="N2" s="1"/>
      <c r="O2" s="1"/>
      <c r="P2" s="1"/>
    </row>
    <row r="3" spans="1:16" ht="15" customHeight="1">
      <c r="A3" s="27"/>
      <c r="B3" s="28"/>
      <c r="C3" s="28"/>
      <c r="D3" s="28"/>
      <c r="E3" s="28"/>
      <c r="F3" s="28"/>
      <c r="G3" s="28"/>
      <c r="H3" s="29"/>
      <c r="I3" s="1" t="s">
        <v>195</v>
      </c>
      <c r="J3" s="1"/>
      <c r="K3" s="1"/>
      <c r="L3" s="1"/>
      <c r="M3" s="1"/>
      <c r="N3" s="1"/>
      <c r="O3" s="1"/>
      <c r="P3" s="1"/>
    </row>
    <row r="4" spans="1:16" ht="15" customHeight="1">
      <c r="A4" s="27"/>
      <c r="B4" s="28"/>
      <c r="C4" s="28"/>
      <c r="D4" s="28"/>
      <c r="E4" s="28"/>
      <c r="F4" s="28"/>
      <c r="G4" s="28"/>
      <c r="H4" s="29"/>
      <c r="I4" s="1" t="s">
        <v>196</v>
      </c>
      <c r="J4" s="1"/>
      <c r="K4" s="1"/>
      <c r="L4" s="1"/>
      <c r="M4" s="1"/>
      <c r="N4" s="1"/>
      <c r="O4" s="1"/>
      <c r="P4" s="1"/>
    </row>
    <row r="5" spans="1:16" ht="15" customHeight="1">
      <c r="A5" s="27"/>
      <c r="B5" s="28"/>
      <c r="C5" s="28"/>
      <c r="D5" s="28"/>
      <c r="E5" s="28"/>
      <c r="F5" s="28"/>
      <c r="G5" s="28"/>
      <c r="H5" s="29"/>
      <c r="I5" s="1" t="s">
        <v>197</v>
      </c>
      <c r="J5" s="1"/>
      <c r="K5" s="1"/>
      <c r="L5" s="1"/>
      <c r="M5" s="1"/>
      <c r="N5" s="1"/>
      <c r="O5" s="1"/>
      <c r="P5" s="1"/>
    </row>
    <row r="6" spans="1:16" ht="15" customHeight="1">
      <c r="A6" s="27"/>
      <c r="B6" s="28"/>
      <c r="C6" s="28"/>
      <c r="D6" s="28"/>
      <c r="E6" s="28"/>
      <c r="F6" s="28"/>
      <c r="G6" s="28"/>
      <c r="H6" s="29"/>
      <c r="I6" s="1" t="s">
        <v>198</v>
      </c>
      <c r="J6" s="1"/>
      <c r="K6" s="1"/>
      <c r="L6" s="1"/>
      <c r="M6" s="1"/>
      <c r="N6" s="1"/>
      <c r="O6" s="1"/>
      <c r="P6" s="1"/>
    </row>
    <row r="7" spans="1:16" ht="15" customHeight="1">
      <c r="A7" s="27"/>
      <c r="B7" s="28"/>
      <c r="C7" s="28"/>
      <c r="D7" s="28"/>
      <c r="E7" s="28"/>
      <c r="F7" s="28"/>
      <c r="G7" s="28"/>
      <c r="H7" s="29"/>
      <c r="I7" s="137" t="s">
        <v>226</v>
      </c>
      <c r="J7" s="1"/>
      <c r="K7" s="1"/>
      <c r="L7" s="1"/>
      <c r="M7" s="1"/>
      <c r="N7" s="1"/>
      <c r="O7" s="1"/>
      <c r="P7" s="1"/>
    </row>
    <row r="8" spans="1:16" ht="15" customHeight="1">
      <c r="A8" s="27"/>
      <c r="B8" s="28"/>
      <c r="C8" s="28"/>
      <c r="D8" s="28"/>
      <c r="E8" s="28"/>
      <c r="F8" s="28"/>
      <c r="G8" s="28"/>
      <c r="H8" s="29"/>
      <c r="I8" s="136" t="s">
        <v>227</v>
      </c>
      <c r="J8" s="1"/>
      <c r="K8" s="1"/>
      <c r="L8" s="1"/>
      <c r="M8" s="1"/>
      <c r="N8" s="1"/>
      <c r="O8" s="1"/>
      <c r="P8" s="1"/>
    </row>
    <row r="9" spans="1:16" ht="15" customHeight="1">
      <c r="A9" s="27"/>
      <c r="B9" s="28"/>
      <c r="C9" s="28"/>
      <c r="D9" s="28"/>
      <c r="E9" s="28"/>
      <c r="F9" s="28"/>
      <c r="G9" s="28"/>
      <c r="H9" s="29"/>
      <c r="I9" s="136" t="s">
        <v>228</v>
      </c>
      <c r="J9" s="1"/>
      <c r="K9" s="1"/>
      <c r="L9" s="1"/>
      <c r="M9" s="1"/>
      <c r="N9" s="1"/>
      <c r="O9" s="1"/>
      <c r="P9" s="1"/>
    </row>
    <row r="10" spans="1:16" ht="15" customHeight="1">
      <c r="A10" s="27"/>
      <c r="B10" s="28"/>
      <c r="C10" s="28"/>
      <c r="D10" s="28"/>
      <c r="E10" s="28"/>
      <c r="F10" s="28"/>
      <c r="G10" s="28"/>
      <c r="H10" s="29"/>
      <c r="I10" s="136" t="s">
        <v>229</v>
      </c>
      <c r="J10" s="1"/>
      <c r="K10" s="1"/>
      <c r="L10" s="1"/>
      <c r="M10" s="1"/>
      <c r="N10" s="1"/>
      <c r="O10" s="1"/>
      <c r="P10" s="1"/>
    </row>
    <row r="11" spans="1:16" ht="15" customHeight="1">
      <c r="A11" s="27"/>
      <c r="B11" s="28"/>
      <c r="C11" s="28"/>
      <c r="D11" s="28"/>
      <c r="E11" s="28"/>
      <c r="F11" s="28"/>
      <c r="G11" s="28"/>
      <c r="H11" s="29"/>
      <c r="I11" s="136" t="s">
        <v>230</v>
      </c>
      <c r="J11" s="1"/>
      <c r="K11" s="1"/>
      <c r="L11" s="1"/>
      <c r="M11" s="1"/>
      <c r="N11" s="1"/>
      <c r="O11" s="1"/>
      <c r="P11" s="1"/>
    </row>
    <row r="12" spans="1:16" ht="15" customHeight="1">
      <c r="A12" s="27"/>
      <c r="B12" s="28"/>
      <c r="C12" s="28"/>
      <c r="D12" s="28"/>
      <c r="E12" s="28"/>
      <c r="F12" s="28"/>
      <c r="G12" s="28"/>
      <c r="H12" s="29"/>
      <c r="I12" s="136" t="s">
        <v>231</v>
      </c>
      <c r="J12" s="1"/>
      <c r="K12" s="1"/>
      <c r="L12" s="1"/>
      <c r="M12" s="1"/>
      <c r="N12" s="1"/>
      <c r="O12" s="1"/>
      <c r="P12" s="1"/>
    </row>
    <row r="13" spans="1:16" ht="15" customHeight="1">
      <c r="A13" s="27"/>
      <c r="B13" s="28"/>
      <c r="C13" s="28"/>
      <c r="D13" s="28"/>
      <c r="E13" s="28"/>
      <c r="F13" s="28"/>
      <c r="G13" s="28"/>
      <c r="H13" s="29"/>
      <c r="I13" s="135" t="s">
        <v>232</v>
      </c>
      <c r="J13" s="1"/>
      <c r="K13" s="1"/>
      <c r="L13" s="1"/>
      <c r="M13" s="1"/>
      <c r="N13" s="1"/>
      <c r="O13" s="1"/>
      <c r="P13" s="1"/>
    </row>
    <row r="14" spans="1:16" ht="15" customHeight="1">
      <c r="A14" s="27"/>
      <c r="B14" s="28"/>
      <c r="C14" s="28"/>
      <c r="D14" s="28"/>
      <c r="E14" s="28"/>
      <c r="F14" s="28"/>
      <c r="G14" s="28"/>
      <c r="H14" s="29"/>
      <c r="I14" s="136" t="s">
        <v>233</v>
      </c>
      <c r="J14" s="1"/>
      <c r="K14" s="1"/>
      <c r="L14" s="1"/>
      <c r="M14" s="1"/>
      <c r="N14" s="1"/>
      <c r="O14" s="1"/>
      <c r="P14" s="1"/>
    </row>
    <row r="15" spans="1:16" ht="15" customHeight="1">
      <c r="A15" s="27"/>
      <c r="B15" s="28"/>
      <c r="C15" s="28"/>
      <c r="D15" s="28"/>
      <c r="E15" s="28"/>
      <c r="F15" s="28"/>
      <c r="G15" s="28"/>
      <c r="H15" s="29"/>
      <c r="I15" s="1"/>
      <c r="J15" s="1"/>
      <c r="K15" s="1"/>
      <c r="L15" s="1"/>
      <c r="M15" s="1"/>
      <c r="N15" s="1"/>
      <c r="O15" s="1"/>
      <c r="P15" s="1"/>
    </row>
    <row r="16" spans="1:16" ht="12" customHeight="1">
      <c r="A16" s="33" t="s">
        <v>95</v>
      </c>
      <c r="B16" s="91" t="s">
        <v>103</v>
      </c>
      <c r="C16" s="92"/>
      <c r="D16" s="33" t="s">
        <v>111</v>
      </c>
      <c r="E16" s="2" t="s">
        <v>148</v>
      </c>
      <c r="F16" s="2" t="s">
        <v>151</v>
      </c>
      <c r="G16" s="2" t="s">
        <v>155</v>
      </c>
      <c r="H16" s="37" t="s">
        <v>179</v>
      </c>
      <c r="I16" s="1"/>
      <c r="J16" s="1"/>
      <c r="K16" s="1"/>
      <c r="L16" s="1"/>
      <c r="M16" s="1"/>
      <c r="N16" s="1"/>
      <c r="O16" s="1"/>
      <c r="P16" s="1"/>
    </row>
    <row r="17" spans="1:16" ht="12" customHeight="1">
      <c r="A17" s="13" t="s">
        <v>181</v>
      </c>
      <c r="B17" s="16" t="s">
        <v>182</v>
      </c>
      <c r="C17" s="17" t="s">
        <v>189</v>
      </c>
      <c r="D17" s="2" t="s">
        <v>13</v>
      </c>
      <c r="E17" s="19">
        <v>6</v>
      </c>
      <c r="F17" s="19">
        <v>6</v>
      </c>
      <c r="G17" s="19">
        <v>6</v>
      </c>
      <c r="H17" s="19">
        <v>6</v>
      </c>
      <c r="I17" s="1"/>
      <c r="J17" s="1"/>
      <c r="K17" s="1"/>
      <c r="L17" s="1"/>
      <c r="M17" s="1"/>
      <c r="N17" s="1"/>
      <c r="O17" s="1"/>
      <c r="P17" s="1"/>
    </row>
    <row r="18" spans="1:16" ht="12" customHeight="1">
      <c r="A18" s="12" t="s">
        <v>183</v>
      </c>
      <c r="B18" s="16" t="s">
        <v>182</v>
      </c>
      <c r="C18" s="13" t="s">
        <v>190</v>
      </c>
      <c r="D18" s="2" t="s">
        <v>14</v>
      </c>
      <c r="E18" s="47">
        <v>91</v>
      </c>
      <c r="F18" s="47">
        <v>91</v>
      </c>
      <c r="G18" s="47">
        <v>91</v>
      </c>
      <c r="H18" s="47">
        <v>91</v>
      </c>
      <c r="I18" s="1"/>
      <c r="J18" s="1"/>
      <c r="K18" s="1"/>
      <c r="L18" s="1"/>
      <c r="M18" s="1"/>
      <c r="N18" s="1"/>
      <c r="O18" s="1"/>
      <c r="P18" s="1"/>
    </row>
    <row r="19" spans="1:16" ht="12" customHeight="1">
      <c r="A19" s="12" t="s">
        <v>188</v>
      </c>
      <c r="B19" s="106" t="s">
        <v>187</v>
      </c>
      <c r="C19" s="107"/>
      <c r="D19" s="101"/>
      <c r="E19" s="9"/>
      <c r="F19" s="9"/>
      <c r="G19" s="9"/>
      <c r="H19" s="9"/>
      <c r="I19" s="1"/>
      <c r="J19" s="1"/>
      <c r="K19" s="1"/>
      <c r="L19" s="1"/>
      <c r="M19" s="1"/>
      <c r="N19" s="1"/>
      <c r="O19" s="1"/>
      <c r="P19" s="1"/>
    </row>
    <row r="20" spans="1:16" ht="12" customHeight="1">
      <c r="A20" s="13" t="s">
        <v>184</v>
      </c>
      <c r="B20" s="64" t="s">
        <v>186</v>
      </c>
      <c r="C20" s="13" t="s">
        <v>78</v>
      </c>
      <c r="D20" s="2" t="s">
        <v>20</v>
      </c>
      <c r="E20" s="63">
        <f>IF(OR(AND(F20&lt;&gt;0,F21&lt;&gt;0,F20&gt;=F21),AND(G20&lt;&gt;0,G21&lt;&gt;0,G20&gt;=G21)),"周波数不適","")</f>
      </c>
      <c r="F20" s="9"/>
      <c r="G20" s="9">
        <v>2000</v>
      </c>
      <c r="H20" s="9"/>
      <c r="I20" s="1"/>
      <c r="J20" s="1"/>
      <c r="K20" s="1"/>
      <c r="L20" s="1"/>
      <c r="M20" s="1"/>
      <c r="N20" s="1"/>
      <c r="O20" s="1"/>
      <c r="P20" s="1"/>
    </row>
    <row r="21" spans="1:16" ht="12" customHeight="1">
      <c r="A21" s="13" t="s">
        <v>185</v>
      </c>
      <c r="B21" s="64" t="s">
        <v>186</v>
      </c>
      <c r="C21" s="13" t="s">
        <v>79</v>
      </c>
      <c r="D21" s="2" t="s">
        <v>63</v>
      </c>
      <c r="E21" s="9">
        <v>2000</v>
      </c>
      <c r="F21" s="9"/>
      <c r="G21" s="9"/>
      <c r="H21" s="20"/>
      <c r="I21" s="1"/>
      <c r="J21" s="1"/>
      <c r="K21" s="1"/>
      <c r="L21" s="1"/>
      <c r="M21" s="1"/>
      <c r="N21" s="1"/>
      <c r="O21" s="1"/>
      <c r="P21" s="1"/>
    </row>
    <row r="22" spans="1:16" ht="12" customHeight="1">
      <c r="A22" s="93" t="s">
        <v>191</v>
      </c>
      <c r="B22" s="12" t="s">
        <v>101</v>
      </c>
      <c r="C22" s="13" t="s">
        <v>88</v>
      </c>
      <c r="D22" s="2" t="s">
        <v>131</v>
      </c>
      <c r="E22" s="20"/>
      <c r="F22" s="3">
        <f>IF(F$20="","",F$17*10^3/(2^1.5*PI()*F20))</f>
      </c>
      <c r="G22" s="3">
        <f>IF(G$20="","",G$17*10^3/(2^1.5*PI()*G20))</f>
        <v>0.3376186185589148</v>
      </c>
      <c r="H22" s="3">
        <f>IF(H$20="","",H$17*10^3/(2^1.5*PI()*H20))</f>
      </c>
      <c r="I22" s="1"/>
      <c r="J22" s="1"/>
      <c r="K22" s="1"/>
      <c r="L22" s="1"/>
      <c r="M22" s="1"/>
      <c r="N22" s="1"/>
      <c r="O22" s="1"/>
      <c r="P22" s="1"/>
    </row>
    <row r="23" spans="1:16" ht="12" customHeight="1">
      <c r="A23" s="94"/>
      <c r="B23" s="12" t="s">
        <v>102</v>
      </c>
      <c r="C23" s="13" t="s">
        <v>89</v>
      </c>
      <c r="D23" s="67" t="s">
        <v>132</v>
      </c>
      <c r="E23" s="14"/>
      <c r="F23" s="3">
        <f>IF(F$20="","",10^6/(2^0.5*PI()*F20*F$17))</f>
      </c>
      <c r="G23" s="3">
        <f>IF(G$20="","",10^6/(2^0.5*PI()*G20*G$17))</f>
        <v>18.75658991993971</v>
      </c>
      <c r="H23" s="3">
        <f>IF(H$20="","",10^6/(2^0.5*PI()*H20*H$17))</f>
      </c>
      <c r="I23" s="1"/>
      <c r="J23" s="1"/>
      <c r="K23" s="1"/>
      <c r="L23" s="1"/>
      <c r="M23" s="1"/>
      <c r="N23" s="1"/>
      <c r="O23" s="1"/>
      <c r="P23" s="1"/>
    </row>
    <row r="24" spans="1:16" ht="12" customHeight="1">
      <c r="A24" s="93" t="s">
        <v>192</v>
      </c>
      <c r="B24" s="12" t="s">
        <v>101</v>
      </c>
      <c r="C24" s="13" t="s">
        <v>90</v>
      </c>
      <c r="D24" s="2" t="s">
        <v>131</v>
      </c>
      <c r="E24" s="3">
        <f>IF(E$21="","",E$17*10^3/(2^1.5*PI()*E21))</f>
        <v>0.3376186185589148</v>
      </c>
      <c r="F24" s="3">
        <f>IF(F$21="","",F$17*10^3/(2^1.5*PI()*F21))</f>
      </c>
      <c r="G24" s="3">
        <f>IF(G$21="","",G$17*10^3/(2^1.5*PI()*G21))</f>
      </c>
      <c r="H24" s="14"/>
      <c r="I24" s="1"/>
      <c r="J24" s="1"/>
      <c r="K24" s="1"/>
      <c r="L24" s="1"/>
      <c r="M24" s="1"/>
      <c r="N24" s="1"/>
      <c r="O24" s="1"/>
      <c r="P24" s="1"/>
    </row>
    <row r="25" spans="1:16" ht="12" customHeight="1">
      <c r="A25" s="94"/>
      <c r="B25" s="12" t="s">
        <v>102</v>
      </c>
      <c r="C25" s="13" t="s">
        <v>91</v>
      </c>
      <c r="D25" s="67" t="s">
        <v>132</v>
      </c>
      <c r="E25" s="3">
        <f>IF(E$21="","",10^6/(2^0.5*PI()*E21*E$17))</f>
        <v>18.75658991993971</v>
      </c>
      <c r="F25" s="3">
        <f>IF(F$21="","",10^6/(2^0.5*PI()*F21*F$17))</f>
      </c>
      <c r="G25" s="3">
        <f>IF(G$21="","",10^6/(2^0.5*PI()*G21*G$17))</f>
      </c>
      <c r="H25" s="14"/>
      <c r="I25" s="1"/>
      <c r="J25" s="1"/>
      <c r="K25" s="1"/>
      <c r="L25" s="1"/>
      <c r="M25" s="1"/>
      <c r="N25" s="1"/>
      <c r="O25" s="1"/>
      <c r="P25" s="1"/>
    </row>
    <row r="26" spans="1:16" ht="12" customHeight="1">
      <c r="A26" s="95" t="s">
        <v>98</v>
      </c>
      <c r="B26" s="12" t="s">
        <v>107</v>
      </c>
      <c r="C26" s="13" t="s">
        <v>193</v>
      </c>
      <c r="D26" s="2" t="s">
        <v>127</v>
      </c>
      <c r="E26" s="19">
        <v>6</v>
      </c>
      <c r="F26" s="19">
        <v>6</v>
      </c>
      <c r="G26" s="19">
        <v>6</v>
      </c>
      <c r="H26" s="19">
        <v>6</v>
      </c>
      <c r="I26" s="1"/>
      <c r="J26" s="1"/>
      <c r="K26" s="1"/>
      <c r="L26" s="1"/>
      <c r="M26" s="1"/>
      <c r="N26" s="1"/>
      <c r="O26" s="1"/>
      <c r="P26" s="1"/>
    </row>
    <row r="27" spans="1:16" ht="12" customHeight="1">
      <c r="A27" s="96"/>
      <c r="B27" s="12" t="s">
        <v>104</v>
      </c>
      <c r="C27" s="13" t="s">
        <v>194</v>
      </c>
      <c r="D27" s="2" t="s">
        <v>11</v>
      </c>
      <c r="E27" s="47">
        <v>91</v>
      </c>
      <c r="F27" s="47">
        <v>91</v>
      </c>
      <c r="G27" s="47">
        <v>105</v>
      </c>
      <c r="H27" s="47">
        <v>91</v>
      </c>
      <c r="I27" s="1"/>
      <c r="J27" s="1"/>
      <c r="K27" s="1"/>
      <c r="L27" s="1"/>
      <c r="M27" s="1"/>
      <c r="N27" s="1"/>
      <c r="O27" s="1"/>
      <c r="P27" s="1"/>
    </row>
    <row r="28" spans="1:16" ht="12" customHeight="1">
      <c r="A28" s="96"/>
      <c r="B28" s="106" t="s">
        <v>200</v>
      </c>
      <c r="C28" s="107"/>
      <c r="D28" s="101"/>
      <c r="E28" s="9"/>
      <c r="F28" s="9"/>
      <c r="G28" s="9">
        <v>1</v>
      </c>
      <c r="H28" s="9"/>
      <c r="I28" s="1"/>
      <c r="J28" s="1"/>
      <c r="K28" s="1"/>
      <c r="L28" s="1"/>
      <c r="M28" s="1"/>
      <c r="N28" s="1"/>
      <c r="O28" s="1"/>
      <c r="P28" s="1"/>
    </row>
    <row r="29" spans="1:16" ht="12" customHeight="1">
      <c r="A29" s="96"/>
      <c r="B29" s="12" t="s">
        <v>106</v>
      </c>
      <c r="C29" s="13" t="s">
        <v>153</v>
      </c>
      <c r="D29" s="2" t="s">
        <v>134</v>
      </c>
      <c r="E29" s="14">
        <f>IF(E$17*E$18*E$26*E$27=0,"",IF(E$28=0,"",IF(E$18&gt;E$27+10*LOG(E$17/E$26),"Unable",IF(E$26/(10^((E$18-E$27-10*LOG(E$17/E$26))/20))-E$17=0,"Blank",IF(E$28=2,IF(E$17&gt;=E$26,"Blank",E$17*E$26/ABS(E$26-E$17)),E$17*E$26/ABS(E$26/(10^((E$18-E$27-10*LOG(E$17/E$26))/20))-E$17))))))</f>
      </c>
      <c r="F29" s="14">
        <f>IF(F$17*F$18*F$26*F$27=0,"",IF(F$28=0,"",IF(F$18&gt;F$27+10*LOG(F$17/F$26),"Unable",IF(F$26/(10^((F$18-F$27-10*LOG(F$17/F$26))/20))-F$17=0,"Blank",IF(F$28=2,IF(F$17&gt;=F$26,"Blank",F$17*F$26/ABS(F$26-F$17)),F$17*F$26/ABS(F$26/(10^((F$18-F$27-10*LOG(F$17/F$26))/20))-F$17))))))</f>
      </c>
      <c r="G29" s="14">
        <f>IF(G$17*G$18*G$26*G$27=0,"",IF(G$28=0,"",IF(G$18&gt;G$27+10*LOG(G$17/G$26),"Unable",IF(G$26/(10^((G$18-G$27-10*LOG(G$17/G$26))/20))-G$17=0,"Blank",IF(G$28=2,IF(G$17&gt;=G$26,"Blank",G$17*G$26/ABS(G$26-G$17)),G$17*G$26/ABS(G$26/(10^((G$18-G$27-10*LOG(G$17/G$26))/20))-G$17))))))</f>
        <v>1.4955610490772422</v>
      </c>
      <c r="H29" s="14">
        <f>IF(H$17*H$18*H$26*H$27=0,"",IF(H$28=0,"",IF(H$18&gt;H$27+10*LOG(H$17/H$26),"Unable",IF(H$26/(10^((H$18-H$27-10*LOG(H$17/H$26))/20))-H$17=0,"Blank",IF(H$28=2,IF(H$17&gt;=H$26,"Blank",H$17*H$26/ABS(H$26-H$17)),H$17*H$26/ABS(H$26/(10^((H$18-H$27-10*LOG(H$17/H$26))/20))-H$17))))))</f>
      </c>
      <c r="I29" s="1"/>
      <c r="J29" s="1"/>
      <c r="K29" s="1"/>
      <c r="L29" s="1"/>
      <c r="M29" s="1"/>
      <c r="N29" s="1"/>
      <c r="O29" s="1"/>
      <c r="P29" s="1"/>
    </row>
    <row r="30" spans="1:16" ht="12" customHeight="1">
      <c r="A30" s="96"/>
      <c r="B30" s="12" t="s">
        <v>108</v>
      </c>
      <c r="C30" s="13" t="s">
        <v>154</v>
      </c>
      <c r="D30" s="2" t="s">
        <v>134</v>
      </c>
      <c r="E30" s="14">
        <f>IF(E$17*E$18*E$26*E$27=0,"",IF(E$28=0,"",IF(E$27+E$33&lt;E$18,"Unable",IF(E$29="Unable","Unable",IF(E$29="Blank",E$17-E$26,E$17-E$29*E$26/(E$29+E$26))))))</f>
      </c>
      <c r="F30" s="14">
        <f>IF(F$17*F$18*F$26*F$27=0,"",IF(F$28=0,"",IF(F$27+F$33&lt;F$18,"Unable",IF(F$29="Unable","Unable",IF(F$29="Blank",F$17-F$26,F$17-F$29*F$26/(F$29+F$26))))))</f>
      </c>
      <c r="G30" s="14">
        <f>IF(G$17*G$18*G$26*G$27=0,"",IF(G$28=0,"",IF(G$27+G$33&lt;G$18,"Unable",IF(G$29="Unable","Unable",IF(G$29="Blank",G$17-G$26,G$17-G$29*G$26/(G$29+G$26))))))</f>
        <v>4.802842611018672</v>
      </c>
      <c r="H30" s="14">
        <f>IF(H$17*H$18*H$26*H$27=0,"",IF(H$28=0,"",IF(H$27+H$33&lt;H$18,"Unable",IF(H$29="Unable","Unable",IF(H$29="Blank",H$17-H$26,H$17-H$29*H$26/(H$29+H$26))))))</f>
      </c>
      <c r="I30" s="1"/>
      <c r="J30" s="1"/>
      <c r="K30" s="1"/>
      <c r="L30" s="1"/>
      <c r="M30" s="1"/>
      <c r="N30" s="1"/>
      <c r="O30" s="1"/>
      <c r="P30" s="1"/>
    </row>
    <row r="31" spans="1:16" ht="12" customHeight="1">
      <c r="A31" s="96"/>
      <c r="B31" s="12" t="s">
        <v>109</v>
      </c>
      <c r="C31" s="22" t="s">
        <v>76</v>
      </c>
      <c r="D31" s="2" t="s">
        <v>134</v>
      </c>
      <c r="E31" s="23">
        <f>IF(E$17*E$18*E$26*E$27=0,"",IF(OR(E$28=1,E$28=2),E$17,E$26))</f>
        <v>6</v>
      </c>
      <c r="F31" s="23">
        <f>IF(F$17*F$18*F$26*F$27=0,"",IF(OR(F$28=1,F$28=2),F$17,F$26))</f>
        <v>6</v>
      </c>
      <c r="G31" s="23">
        <f>IF(G$17*G$18*G$26*G$27=0,"",IF(OR(G$28=1,G$28=2),G$17,G$26))</f>
        <v>6</v>
      </c>
      <c r="H31" s="23">
        <f>IF(H$17*H$18*H$26*H$27=0,"",IF(OR(H$28=1,H$28=2),H$17,H$26))</f>
        <v>6</v>
      </c>
      <c r="I31" s="1"/>
      <c r="J31" s="1"/>
      <c r="K31" s="1"/>
      <c r="L31" s="1"/>
      <c r="M31" s="1"/>
      <c r="N31" s="1"/>
      <c r="O31" s="1"/>
      <c r="P31" s="1"/>
    </row>
    <row r="32" spans="1:16" ht="12" customHeight="1">
      <c r="A32" s="96"/>
      <c r="B32" s="12" t="s">
        <v>110</v>
      </c>
      <c r="C32" s="13" t="s">
        <v>77</v>
      </c>
      <c r="D32" s="2" t="s">
        <v>112</v>
      </c>
      <c r="E32" s="14">
        <f>IF(E$17*E$18*E$26*E$27=0,"",10^(E$33/20))</f>
        <v>1</v>
      </c>
      <c r="F32" s="14">
        <f>IF(F$17*F$18*F$26*F$27=0,"",10^(F$33/20))</f>
        <v>1</v>
      </c>
      <c r="G32" s="14">
        <f>IF(G$17*G$18*G$26*G$27=0,"",10^(G$33/20))</f>
        <v>1</v>
      </c>
      <c r="H32" s="14">
        <f>IF(H$17*H$18*H$26*H$27=0,"",10^(H$33/20))</f>
        <v>1</v>
      </c>
      <c r="I32" s="1"/>
      <c r="J32" s="1"/>
      <c r="K32" s="1"/>
      <c r="L32" s="1"/>
      <c r="M32" s="1"/>
      <c r="N32" s="1"/>
      <c r="O32" s="1"/>
      <c r="P32" s="1"/>
    </row>
    <row r="33" spans="1:16" ht="12" customHeight="1">
      <c r="A33" s="97"/>
      <c r="B33" s="12" t="s">
        <v>110</v>
      </c>
      <c r="C33" s="13" t="s">
        <v>77</v>
      </c>
      <c r="D33" s="2" t="s">
        <v>125</v>
      </c>
      <c r="E33" s="14">
        <f>IF(E$17*E$18*E$26*E$27=0,"",IF(E$28=1,0,E$27-E$18+10*LOG(E$17/E$26)+IF(E$28=2,IF(E$29="Blank",20*LOG(E$26/E$31),20*LOG(E$26*E$29/((E$26+E$29)*E$31))),0)))</f>
        <v>0</v>
      </c>
      <c r="F33" s="14">
        <f>IF(F$17*F$18*F$26*F$27=0,"",IF(F$28=1,0,F$27-F$18+10*LOG(F$17/F$26)+IF(F$28=2,IF(F$29="Blank",20*LOG(F$26/F$31),20*LOG(F$26*F$29/((F$26+F$29)*F$31))),0)))</f>
        <v>0</v>
      </c>
      <c r="G33" s="14">
        <f>IF(G$17*G$18*G$26*G$27=0,"",IF(G$28=1,0,G$27-G$18+10*LOG(G$17/G$26)+IF(G$28=2,IF(G$29="Blank",20*LOG(G$26/G$31),20*LOG(G$26*G$29/((G$26+G$29)*G$31))),0)))</f>
        <v>0</v>
      </c>
      <c r="H33" s="14">
        <f>IF(H$17*H$18*H$26*H$27=0,"",IF(H$28=1,0,H$27-H$18+10*LOG(H$17/H$26)+IF(H$28=2,IF(H$29="Blank",20*LOG(H$26/H$31),20*LOG(H$26*H$29/((H$26+H$29)*H$31))),0)))</f>
        <v>0</v>
      </c>
      <c r="I33" s="1"/>
      <c r="J33" s="1"/>
      <c r="K33" s="1"/>
      <c r="L33" s="1"/>
      <c r="M33" s="1"/>
      <c r="N33" s="1"/>
      <c r="O33" s="1"/>
      <c r="P33" s="1"/>
    </row>
    <row r="34" spans="1:8" ht="12" customHeight="1">
      <c r="A34" s="90" t="s">
        <v>96</v>
      </c>
      <c r="B34" s="4">
        <v>20</v>
      </c>
      <c r="C34" s="5" t="s">
        <v>130</v>
      </c>
      <c r="D34" s="2" t="s">
        <v>201</v>
      </c>
      <c r="E34" s="6">
        <f aca="true" t="shared" si="0" ref="E34:H55">E$17</f>
        <v>6</v>
      </c>
      <c r="F34" s="6">
        <f t="shared" si="0"/>
        <v>6</v>
      </c>
      <c r="G34" s="6">
        <f t="shared" si="0"/>
        <v>6</v>
      </c>
      <c r="H34" s="6">
        <f t="shared" si="0"/>
        <v>6</v>
      </c>
    </row>
    <row r="35" spans="1:8" ht="12" customHeight="1">
      <c r="A35" s="90"/>
      <c r="B35" s="4">
        <v>30</v>
      </c>
      <c r="C35" s="5" t="s">
        <v>130</v>
      </c>
      <c r="D35" s="2" t="s">
        <v>201</v>
      </c>
      <c r="E35" s="6">
        <f t="shared" si="0"/>
        <v>6</v>
      </c>
      <c r="F35" s="6">
        <f t="shared" si="0"/>
        <v>6</v>
      </c>
      <c r="G35" s="6">
        <f t="shared" si="0"/>
        <v>6</v>
      </c>
      <c r="H35" s="6">
        <f t="shared" si="0"/>
        <v>6</v>
      </c>
    </row>
    <row r="36" spans="1:8" ht="12" customHeight="1">
      <c r="A36" s="90"/>
      <c r="B36" s="4">
        <v>40</v>
      </c>
      <c r="C36" s="5" t="s">
        <v>130</v>
      </c>
      <c r="D36" s="2" t="s">
        <v>201</v>
      </c>
      <c r="E36" s="6">
        <f t="shared" si="0"/>
        <v>6</v>
      </c>
      <c r="F36" s="6">
        <f t="shared" si="0"/>
        <v>6</v>
      </c>
      <c r="G36" s="6">
        <f t="shared" si="0"/>
        <v>6</v>
      </c>
      <c r="H36" s="6">
        <f t="shared" si="0"/>
        <v>6</v>
      </c>
    </row>
    <row r="37" spans="1:8" ht="12" customHeight="1">
      <c r="A37" s="102"/>
      <c r="B37" s="4">
        <v>50</v>
      </c>
      <c r="C37" s="5" t="s">
        <v>130</v>
      </c>
      <c r="D37" s="2" t="s">
        <v>201</v>
      </c>
      <c r="E37" s="6">
        <f t="shared" si="0"/>
        <v>6</v>
      </c>
      <c r="F37" s="6">
        <f t="shared" si="0"/>
        <v>6</v>
      </c>
      <c r="G37" s="6">
        <f t="shared" si="0"/>
        <v>6</v>
      </c>
      <c r="H37" s="6">
        <f t="shared" si="0"/>
        <v>6</v>
      </c>
    </row>
    <row r="38" spans="1:8" ht="12" customHeight="1">
      <c r="A38" s="102"/>
      <c r="B38" s="4">
        <v>70</v>
      </c>
      <c r="C38" s="5" t="s">
        <v>130</v>
      </c>
      <c r="D38" s="2" t="s">
        <v>201</v>
      </c>
      <c r="E38" s="6">
        <f t="shared" si="0"/>
        <v>6</v>
      </c>
      <c r="F38" s="6">
        <f t="shared" si="0"/>
        <v>6</v>
      </c>
      <c r="G38" s="6">
        <f t="shared" si="0"/>
        <v>6</v>
      </c>
      <c r="H38" s="6">
        <f t="shared" si="0"/>
        <v>6</v>
      </c>
    </row>
    <row r="39" spans="1:8" ht="12" customHeight="1">
      <c r="A39" s="102"/>
      <c r="B39" s="4">
        <v>100</v>
      </c>
      <c r="C39" s="5" t="s">
        <v>130</v>
      </c>
      <c r="D39" s="2" t="s">
        <v>201</v>
      </c>
      <c r="E39" s="6">
        <f t="shared" si="0"/>
        <v>6</v>
      </c>
      <c r="F39" s="6">
        <f t="shared" si="0"/>
        <v>6</v>
      </c>
      <c r="G39" s="6">
        <f t="shared" si="0"/>
        <v>6</v>
      </c>
      <c r="H39" s="6">
        <f t="shared" si="0"/>
        <v>6</v>
      </c>
    </row>
    <row r="40" spans="1:8" ht="12" customHeight="1">
      <c r="A40" s="102"/>
      <c r="B40" s="4">
        <v>150</v>
      </c>
      <c r="C40" s="5" t="s">
        <v>130</v>
      </c>
      <c r="D40" s="2" t="s">
        <v>201</v>
      </c>
      <c r="E40" s="6">
        <f t="shared" si="0"/>
        <v>6</v>
      </c>
      <c r="F40" s="6">
        <f t="shared" si="0"/>
        <v>6</v>
      </c>
      <c r="G40" s="6">
        <f t="shared" si="0"/>
        <v>6</v>
      </c>
      <c r="H40" s="6">
        <f t="shared" si="0"/>
        <v>6</v>
      </c>
    </row>
    <row r="41" spans="1:8" ht="12" customHeight="1">
      <c r="A41" s="102"/>
      <c r="B41" s="4">
        <v>200</v>
      </c>
      <c r="C41" s="5" t="s">
        <v>130</v>
      </c>
      <c r="D41" s="2" t="s">
        <v>201</v>
      </c>
      <c r="E41" s="6">
        <f t="shared" si="0"/>
        <v>6</v>
      </c>
      <c r="F41" s="6">
        <f t="shared" si="0"/>
        <v>6</v>
      </c>
      <c r="G41" s="6">
        <f t="shared" si="0"/>
        <v>6</v>
      </c>
      <c r="H41" s="6">
        <f t="shared" si="0"/>
        <v>6</v>
      </c>
    </row>
    <row r="42" spans="1:8" ht="12" customHeight="1">
      <c r="A42" s="102"/>
      <c r="B42" s="4">
        <v>300</v>
      </c>
      <c r="C42" s="5" t="s">
        <v>130</v>
      </c>
      <c r="D42" s="2" t="s">
        <v>201</v>
      </c>
      <c r="E42" s="6">
        <f t="shared" si="0"/>
        <v>6</v>
      </c>
      <c r="F42" s="6">
        <f t="shared" si="0"/>
        <v>6</v>
      </c>
      <c r="G42" s="6">
        <f t="shared" si="0"/>
        <v>6</v>
      </c>
      <c r="H42" s="6">
        <f t="shared" si="0"/>
        <v>6</v>
      </c>
    </row>
    <row r="43" spans="1:8" ht="12" customHeight="1">
      <c r="A43" s="102"/>
      <c r="B43" s="4">
        <v>400</v>
      </c>
      <c r="C43" s="5" t="s">
        <v>130</v>
      </c>
      <c r="D43" s="2" t="s">
        <v>201</v>
      </c>
      <c r="E43" s="6">
        <f t="shared" si="0"/>
        <v>6</v>
      </c>
      <c r="F43" s="6">
        <f t="shared" si="0"/>
        <v>6</v>
      </c>
      <c r="G43" s="6">
        <f t="shared" si="0"/>
        <v>6</v>
      </c>
      <c r="H43" s="6">
        <f t="shared" si="0"/>
        <v>6</v>
      </c>
    </row>
    <row r="44" spans="1:8" ht="12" customHeight="1">
      <c r="A44" s="102"/>
      <c r="B44" s="4">
        <v>500</v>
      </c>
      <c r="C44" s="5" t="s">
        <v>130</v>
      </c>
      <c r="D44" s="2" t="s">
        <v>201</v>
      </c>
      <c r="E44" s="6">
        <f t="shared" si="0"/>
        <v>6</v>
      </c>
      <c r="F44" s="6">
        <f t="shared" si="0"/>
        <v>6</v>
      </c>
      <c r="G44" s="6">
        <f t="shared" si="0"/>
        <v>6</v>
      </c>
      <c r="H44" s="6">
        <f t="shared" si="0"/>
        <v>6</v>
      </c>
    </row>
    <row r="45" spans="1:8" ht="12" customHeight="1">
      <c r="A45" s="102"/>
      <c r="B45" s="4">
        <v>700</v>
      </c>
      <c r="C45" s="5" t="s">
        <v>130</v>
      </c>
      <c r="D45" s="2" t="s">
        <v>201</v>
      </c>
      <c r="E45" s="6">
        <f t="shared" si="0"/>
        <v>6</v>
      </c>
      <c r="F45" s="6">
        <f t="shared" si="0"/>
        <v>6</v>
      </c>
      <c r="G45" s="6">
        <f t="shared" si="0"/>
        <v>6</v>
      </c>
      <c r="H45" s="6">
        <f t="shared" si="0"/>
        <v>6</v>
      </c>
    </row>
    <row r="46" spans="1:8" ht="12" customHeight="1">
      <c r="A46" s="102"/>
      <c r="B46" s="4" t="s">
        <v>64</v>
      </c>
      <c r="C46" s="5" t="s">
        <v>130</v>
      </c>
      <c r="D46" s="2" t="s">
        <v>201</v>
      </c>
      <c r="E46" s="6">
        <f t="shared" si="0"/>
        <v>6</v>
      </c>
      <c r="F46" s="6">
        <f t="shared" si="0"/>
        <v>6</v>
      </c>
      <c r="G46" s="6">
        <f t="shared" si="0"/>
        <v>6</v>
      </c>
      <c r="H46" s="6">
        <f t="shared" si="0"/>
        <v>6</v>
      </c>
    </row>
    <row r="47" spans="1:8" ht="12" customHeight="1">
      <c r="A47" s="102"/>
      <c r="B47" s="4" t="s">
        <v>65</v>
      </c>
      <c r="C47" s="5" t="s">
        <v>130</v>
      </c>
      <c r="D47" s="2" t="s">
        <v>201</v>
      </c>
      <c r="E47" s="6">
        <f t="shared" si="0"/>
        <v>6</v>
      </c>
      <c r="F47" s="6">
        <f t="shared" si="0"/>
        <v>6</v>
      </c>
      <c r="G47" s="6">
        <f t="shared" si="0"/>
        <v>6</v>
      </c>
      <c r="H47" s="6">
        <f t="shared" si="0"/>
        <v>6</v>
      </c>
    </row>
    <row r="48" spans="1:8" ht="12" customHeight="1">
      <c r="A48" s="102"/>
      <c r="B48" s="4" t="s">
        <v>66</v>
      </c>
      <c r="C48" s="5" t="s">
        <v>130</v>
      </c>
      <c r="D48" s="2" t="s">
        <v>201</v>
      </c>
      <c r="E48" s="6">
        <f t="shared" si="0"/>
        <v>6</v>
      </c>
      <c r="F48" s="6">
        <f t="shared" si="0"/>
        <v>6</v>
      </c>
      <c r="G48" s="6">
        <f t="shared" si="0"/>
        <v>6</v>
      </c>
      <c r="H48" s="6">
        <f t="shared" si="0"/>
        <v>6</v>
      </c>
    </row>
    <row r="49" spans="1:8" ht="12" customHeight="1">
      <c r="A49" s="102"/>
      <c r="B49" s="4" t="s">
        <v>67</v>
      </c>
      <c r="C49" s="5" t="s">
        <v>130</v>
      </c>
      <c r="D49" s="2" t="s">
        <v>201</v>
      </c>
      <c r="E49" s="6">
        <f t="shared" si="0"/>
        <v>6</v>
      </c>
      <c r="F49" s="6">
        <f t="shared" si="0"/>
        <v>6</v>
      </c>
      <c r="G49" s="6">
        <f t="shared" si="0"/>
        <v>6</v>
      </c>
      <c r="H49" s="6">
        <f t="shared" si="0"/>
        <v>6</v>
      </c>
    </row>
    <row r="50" spans="1:8" ht="12" customHeight="1">
      <c r="A50" s="102"/>
      <c r="B50" s="4" t="s">
        <v>68</v>
      </c>
      <c r="C50" s="5" t="s">
        <v>130</v>
      </c>
      <c r="D50" s="2" t="s">
        <v>201</v>
      </c>
      <c r="E50" s="6">
        <f t="shared" si="0"/>
        <v>6</v>
      </c>
      <c r="F50" s="6">
        <f t="shared" si="0"/>
        <v>6</v>
      </c>
      <c r="G50" s="6">
        <f t="shared" si="0"/>
        <v>6</v>
      </c>
      <c r="H50" s="6">
        <f t="shared" si="0"/>
        <v>6</v>
      </c>
    </row>
    <row r="51" spans="1:8" ht="12" customHeight="1">
      <c r="A51" s="102"/>
      <c r="B51" s="4" t="s">
        <v>69</v>
      </c>
      <c r="C51" s="5" t="s">
        <v>130</v>
      </c>
      <c r="D51" s="2" t="s">
        <v>201</v>
      </c>
      <c r="E51" s="6">
        <f t="shared" si="0"/>
        <v>6</v>
      </c>
      <c r="F51" s="6">
        <f t="shared" si="0"/>
        <v>6</v>
      </c>
      <c r="G51" s="6">
        <f t="shared" si="0"/>
        <v>6</v>
      </c>
      <c r="H51" s="6">
        <f t="shared" si="0"/>
        <v>6</v>
      </c>
    </row>
    <row r="52" spans="1:8" ht="12" customHeight="1">
      <c r="A52" s="102"/>
      <c r="B52" s="4" t="s">
        <v>70</v>
      </c>
      <c r="C52" s="5" t="s">
        <v>130</v>
      </c>
      <c r="D52" s="2" t="s">
        <v>201</v>
      </c>
      <c r="E52" s="6">
        <f t="shared" si="0"/>
        <v>6</v>
      </c>
      <c r="F52" s="6">
        <f t="shared" si="0"/>
        <v>6</v>
      </c>
      <c r="G52" s="6">
        <f t="shared" si="0"/>
        <v>6</v>
      </c>
      <c r="H52" s="6">
        <f t="shared" si="0"/>
        <v>6</v>
      </c>
    </row>
    <row r="53" spans="1:8" ht="12" customHeight="1">
      <c r="A53" s="102"/>
      <c r="B53" s="4" t="s">
        <v>71</v>
      </c>
      <c r="C53" s="5" t="s">
        <v>130</v>
      </c>
      <c r="D53" s="2" t="s">
        <v>201</v>
      </c>
      <c r="E53" s="6">
        <f t="shared" si="0"/>
        <v>6</v>
      </c>
      <c r="F53" s="6">
        <f t="shared" si="0"/>
        <v>6</v>
      </c>
      <c r="G53" s="6">
        <f t="shared" si="0"/>
        <v>6</v>
      </c>
      <c r="H53" s="6">
        <f t="shared" si="0"/>
        <v>6</v>
      </c>
    </row>
    <row r="54" spans="1:8" ht="12" customHeight="1">
      <c r="A54" s="102"/>
      <c r="B54" s="4" t="s">
        <v>72</v>
      </c>
      <c r="C54" s="5" t="s">
        <v>130</v>
      </c>
      <c r="D54" s="2" t="s">
        <v>201</v>
      </c>
      <c r="E54" s="6">
        <f t="shared" si="0"/>
        <v>6</v>
      </c>
      <c r="F54" s="6">
        <f t="shared" si="0"/>
        <v>6</v>
      </c>
      <c r="G54" s="6">
        <f t="shared" si="0"/>
        <v>6</v>
      </c>
      <c r="H54" s="6">
        <f t="shared" si="0"/>
        <v>6</v>
      </c>
    </row>
    <row r="55" spans="1:8" ht="12" customHeight="1">
      <c r="A55" s="102"/>
      <c r="B55" s="4" t="s">
        <v>73</v>
      </c>
      <c r="C55" s="5" t="s">
        <v>130</v>
      </c>
      <c r="D55" s="2" t="s">
        <v>201</v>
      </c>
      <c r="E55" s="6">
        <f t="shared" si="0"/>
        <v>6</v>
      </c>
      <c r="F55" s="6">
        <f t="shared" si="0"/>
        <v>6</v>
      </c>
      <c r="G55" s="6">
        <f t="shared" si="0"/>
        <v>6</v>
      </c>
      <c r="H55" s="6">
        <f t="shared" si="0"/>
        <v>6</v>
      </c>
    </row>
    <row r="56" spans="1:8" ht="12" customHeight="1">
      <c r="A56" s="81" t="s">
        <v>116</v>
      </c>
      <c r="B56" s="4">
        <v>20</v>
      </c>
      <c r="C56" s="5" t="s">
        <v>130</v>
      </c>
      <c r="D56" s="2" t="s">
        <v>125</v>
      </c>
      <c r="E56" s="21">
        <f>IF(E$31="","",E$33+IF(E$21=0,0,20*LOG(E166/((E$31^2+(E144-E166)^2)^0.5))))</f>
        <v>-4.342930049285447E-08</v>
      </c>
      <c r="F56" s="21">
        <f>IF(F$31="","",F$33+IF(F$20=0,0,20*LOG(F100/((F$31^2+(F100-F122)^2)^0.5)))+IF(F$21=0,0,20*LOG(F166/((F$31^2+(F144-F166)^2)^0.5)))+$F$18-$E$18)</f>
        <v>0</v>
      </c>
      <c r="G56" s="21">
        <f>IF(G$31="","",G$33+IF(G$20=0,0,20*LOG(G100/((G$31^2+(G100-G122)^2)^0.5)))+IF(G$21=0,0,20*LOG(G166/((G$31^2+(G144-G166)^2)^0.5)))+$G$18-$E$18)</f>
        <v>-80.00001471674972</v>
      </c>
      <c r="H56" s="21">
        <f>IF(H$31="","",H$33+IF(H$20=0,0,20*LOG(H100/((H$31^2+(H100-H122)^2)^0.5)))+$H$18-$E$18)</f>
        <v>0</v>
      </c>
    </row>
    <row r="57" spans="1:8" ht="12" customHeight="1">
      <c r="A57" s="82"/>
      <c r="B57" s="4">
        <v>30</v>
      </c>
      <c r="C57" s="5" t="s">
        <v>130</v>
      </c>
      <c r="D57" s="2" t="s">
        <v>125</v>
      </c>
      <c r="E57" s="21">
        <f aca="true" t="shared" si="1" ref="E57:E77">IF(E$31="","",E$33+IF(E$21=0,0,20*LOG(E167/((E$31^2+(E145-E167)^2)^0.5))))</f>
        <v>-2.1986083290423593E-07</v>
      </c>
      <c r="F57" s="21">
        <f aca="true" t="shared" si="2" ref="F57:F77">IF(F$31="","",F$33+IF(F$20=0,0,20*LOG(F101/((F$31^2+(F101-F123)^2)^0.5)))+IF(F$21=0,0,20*LOG(F167/((F$31^2+(F145-F167)^2)^0.5)))+$F$18-$E$18)</f>
        <v>0</v>
      </c>
      <c r="G57" s="21">
        <f aca="true" t="shared" si="3" ref="G57:G77">IF(G$31="","",G$33+IF(G$20=0,0,20*LOG(G101/((G$31^2+(G101-G123)^2)^0.5)))+IF(G$21=0,0,20*LOG(G167/((G$31^2+(G145-G167)^2)^0.5)))+$G$18-$E$18)</f>
        <v>-72.956364530954</v>
      </c>
      <c r="H57" s="21">
        <f aca="true" t="shared" si="4" ref="H57:H77">IF(H$31="","",H$33+IF(H$20=0,0,20*LOG(H101/((H$31^2+(H101-H123)^2)^0.5)))+$H$18-$E$18)</f>
        <v>0</v>
      </c>
    </row>
    <row r="58" spans="1:8" ht="12" customHeight="1">
      <c r="A58" s="82"/>
      <c r="B58" s="4">
        <v>40</v>
      </c>
      <c r="C58" s="5" t="s">
        <v>130</v>
      </c>
      <c r="D58" s="2" t="s">
        <v>125</v>
      </c>
      <c r="E58" s="21">
        <f t="shared" si="1"/>
        <v>-6.948687683688916E-07</v>
      </c>
      <c r="F58" s="21">
        <f t="shared" si="2"/>
        <v>0</v>
      </c>
      <c r="G58" s="21">
        <f t="shared" si="3"/>
        <v>-67.95881554162995</v>
      </c>
      <c r="H58" s="21">
        <f t="shared" si="4"/>
        <v>0</v>
      </c>
    </row>
    <row r="59" spans="1:8" ht="12" customHeight="1">
      <c r="A59" s="82"/>
      <c r="B59" s="4">
        <v>50</v>
      </c>
      <c r="C59" s="5" t="s">
        <v>130</v>
      </c>
      <c r="D59" s="2" t="s">
        <v>125</v>
      </c>
      <c r="E59" s="21">
        <f t="shared" si="1"/>
        <v>-1.696456756586626E-06</v>
      </c>
      <c r="F59" s="21">
        <f t="shared" si="2"/>
        <v>0</v>
      </c>
      <c r="G59" s="21">
        <f t="shared" si="3"/>
        <v>-64.08241602289567</v>
      </c>
      <c r="H59" s="21">
        <f t="shared" si="4"/>
        <v>0</v>
      </c>
    </row>
    <row r="60" spans="1:8" ht="12" customHeight="1">
      <c r="A60" s="82"/>
      <c r="B60" s="4">
        <v>70</v>
      </c>
      <c r="C60" s="5" t="s">
        <v>130</v>
      </c>
      <c r="D60" s="2" t="s">
        <v>125</v>
      </c>
      <c r="E60" s="21">
        <f t="shared" si="1"/>
        <v>-6.51710466002526E-06</v>
      </c>
      <c r="F60" s="21">
        <f t="shared" si="2"/>
        <v>0</v>
      </c>
      <c r="G60" s="21">
        <f t="shared" si="3"/>
        <v>-58.23729941641406</v>
      </c>
      <c r="H60" s="21">
        <f t="shared" si="4"/>
        <v>0</v>
      </c>
    </row>
    <row r="61" spans="1:8" ht="12" customHeight="1">
      <c r="A61" s="82"/>
      <c r="B61" s="4">
        <v>100</v>
      </c>
      <c r="C61" s="5" t="s">
        <v>130</v>
      </c>
      <c r="D61" s="2" t="s">
        <v>125</v>
      </c>
      <c r="E61" s="21">
        <f t="shared" si="1"/>
        <v>-2.7143228587992306E-05</v>
      </c>
      <c r="F61" s="21">
        <f t="shared" si="2"/>
        <v>0</v>
      </c>
      <c r="G61" s="21">
        <f t="shared" si="3"/>
        <v>-52.04124164310826</v>
      </c>
      <c r="H61" s="21">
        <f t="shared" si="4"/>
        <v>0</v>
      </c>
    </row>
    <row r="62" spans="1:8" ht="12" customHeight="1">
      <c r="A62" s="82"/>
      <c r="B62" s="4">
        <v>150</v>
      </c>
      <c r="C62" s="5" t="s">
        <v>130</v>
      </c>
      <c r="D62" s="2" t="s">
        <v>125</v>
      </c>
      <c r="E62" s="21">
        <f t="shared" si="1"/>
        <v>-0.00013741085027919425</v>
      </c>
      <c r="F62" s="21">
        <f t="shared" si="2"/>
        <v>0</v>
      </c>
      <c r="G62" s="21">
        <f t="shared" si="3"/>
        <v>-44.997701548502704</v>
      </c>
      <c r="H62" s="21">
        <f t="shared" si="4"/>
        <v>0</v>
      </c>
    </row>
    <row r="63" spans="1:8" ht="12" customHeight="1">
      <c r="A63" s="82"/>
      <c r="B63" s="4">
        <v>200</v>
      </c>
      <c r="C63" s="5" t="s">
        <v>130</v>
      </c>
      <c r="D63" s="2" t="s">
        <v>125</v>
      </c>
      <c r="E63" s="21">
        <f t="shared" si="1"/>
        <v>-0.0004342713014444864</v>
      </c>
      <c r="F63" s="21">
        <f t="shared" si="2"/>
        <v>0</v>
      </c>
      <c r="G63" s="21">
        <f t="shared" si="3"/>
        <v>-40.000448944621866</v>
      </c>
      <c r="H63" s="21">
        <f t="shared" si="4"/>
        <v>0</v>
      </c>
    </row>
    <row r="64" spans="1:8" ht="12" customHeight="1">
      <c r="A64" s="82"/>
      <c r="B64" s="4">
        <v>300</v>
      </c>
      <c r="C64" s="5" t="s">
        <v>130</v>
      </c>
      <c r="D64" s="2" t="s">
        <v>125</v>
      </c>
      <c r="E64" s="21">
        <f t="shared" si="1"/>
        <v>-0.0021980520531661688</v>
      </c>
      <c r="F64" s="21">
        <f t="shared" si="2"/>
        <v>0</v>
      </c>
      <c r="G64" s="21">
        <f t="shared" si="3"/>
        <v>-32.958562363146335</v>
      </c>
      <c r="H64" s="21">
        <f t="shared" si="4"/>
        <v>0</v>
      </c>
    </row>
    <row r="65" spans="1:8" ht="12" customHeight="1">
      <c r="A65" s="82"/>
      <c r="B65" s="4">
        <v>400</v>
      </c>
      <c r="C65" s="5" t="s">
        <v>130</v>
      </c>
      <c r="D65" s="2" t="s">
        <v>125</v>
      </c>
      <c r="E65" s="21">
        <f t="shared" si="1"/>
        <v>-0.006943135223775024</v>
      </c>
      <c r="F65" s="21">
        <f t="shared" si="2"/>
        <v>0</v>
      </c>
      <c r="G65" s="21">
        <f t="shared" si="3"/>
        <v>-27.96575798198495</v>
      </c>
      <c r="H65" s="21">
        <f t="shared" si="4"/>
        <v>0</v>
      </c>
    </row>
    <row r="66" spans="1:8" ht="12" customHeight="1">
      <c r="A66" s="82"/>
      <c r="B66" s="4">
        <v>500</v>
      </c>
      <c r="C66" s="5" t="s">
        <v>130</v>
      </c>
      <c r="D66" s="2" t="s">
        <v>125</v>
      </c>
      <c r="E66" s="21">
        <f t="shared" si="1"/>
        <v>-0.016931523099913838</v>
      </c>
      <c r="F66" s="21">
        <f t="shared" si="2"/>
        <v>0</v>
      </c>
      <c r="G66" s="21">
        <f t="shared" si="3"/>
        <v>-24.099345849538835</v>
      </c>
      <c r="H66" s="21">
        <f t="shared" si="4"/>
        <v>0</v>
      </c>
    </row>
    <row r="67" spans="1:8" ht="12" customHeight="1">
      <c r="A67" s="82"/>
      <c r="B67" s="4">
        <v>700</v>
      </c>
      <c r="C67" s="5" t="s">
        <v>130</v>
      </c>
      <c r="D67" s="2" t="s">
        <v>125</v>
      </c>
      <c r="E67" s="21">
        <f t="shared" si="1"/>
        <v>-0.06468694774528047</v>
      </c>
      <c r="F67" s="21">
        <f t="shared" si="2"/>
        <v>0</v>
      </c>
      <c r="G67" s="21">
        <f t="shared" si="3"/>
        <v>-18.30197984705468</v>
      </c>
      <c r="H67" s="21">
        <f t="shared" si="4"/>
        <v>0</v>
      </c>
    </row>
    <row r="68" spans="1:8" ht="12" customHeight="1">
      <c r="A68" s="82"/>
      <c r="B68" s="4" t="s">
        <v>43</v>
      </c>
      <c r="C68" s="5" t="s">
        <v>130</v>
      </c>
      <c r="D68" s="2" t="s">
        <v>125</v>
      </c>
      <c r="E68" s="21">
        <f t="shared" si="1"/>
        <v>-0.26328852408836895</v>
      </c>
      <c r="F68" s="21">
        <f t="shared" si="2"/>
        <v>0</v>
      </c>
      <c r="G68" s="21">
        <f t="shared" si="3"/>
        <v>-12.304503023968039</v>
      </c>
      <c r="H68" s="21">
        <f t="shared" si="4"/>
        <v>0</v>
      </c>
    </row>
    <row r="69" spans="1:8" ht="12" customHeight="1">
      <c r="A69" s="82"/>
      <c r="B69" s="4" t="s">
        <v>44</v>
      </c>
      <c r="C69" s="5" t="s">
        <v>130</v>
      </c>
      <c r="D69" s="2" t="s">
        <v>125</v>
      </c>
      <c r="E69" s="21">
        <f t="shared" si="1"/>
        <v>-1.193895828777594</v>
      </c>
      <c r="F69" s="21">
        <f t="shared" si="2"/>
        <v>0</v>
      </c>
      <c r="G69" s="21">
        <f t="shared" si="3"/>
        <v>-6.191459966430017</v>
      </c>
      <c r="H69" s="21">
        <f t="shared" si="4"/>
        <v>0</v>
      </c>
    </row>
    <row r="70" spans="1:8" ht="12" customHeight="1">
      <c r="A70" s="82"/>
      <c r="B70" s="4" t="s">
        <v>45</v>
      </c>
      <c r="C70" s="5" t="s">
        <v>130</v>
      </c>
      <c r="D70" s="2" t="s">
        <v>125</v>
      </c>
      <c r="E70" s="21">
        <f t="shared" si="1"/>
        <v>-3.010292619985796</v>
      </c>
      <c r="F70" s="21">
        <f t="shared" si="2"/>
        <v>0</v>
      </c>
      <c r="G70" s="21">
        <f t="shared" si="3"/>
        <v>-3.0103072933062265</v>
      </c>
      <c r="H70" s="21">
        <f t="shared" si="4"/>
        <v>0</v>
      </c>
    </row>
    <row r="71" spans="1:8" ht="12" customHeight="1">
      <c r="A71" s="82"/>
      <c r="B71" s="4" t="s">
        <v>46</v>
      </c>
      <c r="C71" s="5" t="s">
        <v>130</v>
      </c>
      <c r="D71" s="2" t="s">
        <v>125</v>
      </c>
      <c r="E71" s="21">
        <f t="shared" si="1"/>
        <v>-7.826505263127706</v>
      </c>
      <c r="F71" s="21">
        <f t="shared" si="2"/>
        <v>0</v>
      </c>
      <c r="G71" s="21">
        <f t="shared" si="3"/>
        <v>-0.7828695742208822</v>
      </c>
      <c r="H71" s="21">
        <f t="shared" si="4"/>
        <v>0</v>
      </c>
    </row>
    <row r="72" spans="1:8" ht="12" customHeight="1">
      <c r="A72" s="82"/>
      <c r="B72" s="4" t="s">
        <v>47</v>
      </c>
      <c r="C72" s="5" t="s">
        <v>130</v>
      </c>
      <c r="D72" s="2" t="s">
        <v>125</v>
      </c>
      <c r="E72" s="21">
        <f t="shared" si="1"/>
        <v>-12.30447540360018</v>
      </c>
      <c r="F72" s="21">
        <f t="shared" si="2"/>
        <v>0</v>
      </c>
      <c r="G72" s="21">
        <f t="shared" si="3"/>
        <v>-0.263290250361365</v>
      </c>
      <c r="H72" s="21">
        <f t="shared" si="4"/>
        <v>0</v>
      </c>
    </row>
    <row r="73" spans="1:8" ht="12" customHeight="1">
      <c r="A73" s="82"/>
      <c r="B73" s="4" t="s">
        <v>48</v>
      </c>
      <c r="C73" s="5" t="s">
        <v>130</v>
      </c>
      <c r="D73" s="2" t="s">
        <v>125</v>
      </c>
      <c r="E73" s="21">
        <f t="shared" si="1"/>
        <v>-16.027366161569834</v>
      </c>
      <c r="F73" s="21">
        <f t="shared" si="2"/>
        <v>0</v>
      </c>
      <c r="G73" s="21">
        <f t="shared" si="3"/>
        <v>-0.10978048800875229</v>
      </c>
      <c r="H73" s="21">
        <f t="shared" si="4"/>
        <v>0</v>
      </c>
    </row>
    <row r="74" spans="1:8" ht="12" customHeight="1">
      <c r="A74" s="82"/>
      <c r="B74" s="4" t="s">
        <v>49</v>
      </c>
      <c r="C74" s="5" t="s">
        <v>130</v>
      </c>
      <c r="D74" s="2" t="s">
        <v>125</v>
      </c>
      <c r="E74" s="21">
        <f t="shared" si="1"/>
        <v>-21.7915521013311</v>
      </c>
      <c r="F74" s="21">
        <f t="shared" si="2"/>
        <v>0</v>
      </c>
      <c r="G74" s="21">
        <f t="shared" si="3"/>
        <v>-0.02884500064050144</v>
      </c>
      <c r="H74" s="21">
        <f t="shared" si="4"/>
        <v>0</v>
      </c>
    </row>
    <row r="75" spans="1:8" ht="12" customHeight="1">
      <c r="A75" s="82"/>
      <c r="B75" s="4" t="s">
        <v>50</v>
      </c>
      <c r="C75" s="5" t="s">
        <v>130</v>
      </c>
      <c r="D75" s="2" t="s">
        <v>125</v>
      </c>
      <c r="E75" s="21">
        <f t="shared" si="1"/>
        <v>-27.96572868222372</v>
      </c>
      <c r="F75" s="21">
        <f t="shared" si="2"/>
        <v>0</v>
      </c>
      <c r="G75" s="21">
        <f t="shared" si="3"/>
        <v>-0.006943182103398726</v>
      </c>
      <c r="H75" s="21">
        <f t="shared" si="4"/>
        <v>0</v>
      </c>
    </row>
    <row r="76" spans="1:8" ht="12" customHeight="1">
      <c r="A76" s="82"/>
      <c r="B76" s="4" t="s">
        <v>51</v>
      </c>
      <c r="C76" s="5" t="s">
        <v>130</v>
      </c>
      <c r="D76" s="2" t="s">
        <v>125</v>
      </c>
      <c r="E76" s="21">
        <f t="shared" si="1"/>
        <v>-35.00380823515621</v>
      </c>
      <c r="F76" s="21">
        <f t="shared" si="2"/>
        <v>0</v>
      </c>
      <c r="G76" s="21">
        <f t="shared" si="3"/>
        <v>-0.0013723728086318943</v>
      </c>
      <c r="H76" s="21">
        <f t="shared" si="4"/>
        <v>0</v>
      </c>
    </row>
    <row r="77" spans="1:8" ht="12" customHeight="1">
      <c r="A77" s="83"/>
      <c r="B77" s="4" t="s">
        <v>52</v>
      </c>
      <c r="C77" s="5" t="s">
        <v>130</v>
      </c>
      <c r="D77" s="2" t="s">
        <v>125</v>
      </c>
      <c r="E77" s="21">
        <f t="shared" si="1"/>
        <v>-40.00041960091539</v>
      </c>
      <c r="F77" s="21">
        <f t="shared" si="2"/>
        <v>0</v>
      </c>
      <c r="G77" s="21">
        <f t="shared" si="3"/>
        <v>-0.00043427423581476887</v>
      </c>
      <c r="H77" s="21">
        <f t="shared" si="4"/>
        <v>0</v>
      </c>
    </row>
    <row r="78" spans="1:8" ht="12" customHeight="1">
      <c r="A78" s="81" t="s">
        <v>117</v>
      </c>
      <c r="B78" s="4">
        <v>20</v>
      </c>
      <c r="C78" s="5" t="s">
        <v>130</v>
      </c>
      <c r="D78" s="2" t="s">
        <v>124</v>
      </c>
      <c r="E78" s="45">
        <f aca="true" t="shared" si="5" ref="E78:E99">IF(E144="",0,180/PI()*ATAN(E$31/(E144-E166))+IF(E144&gt;E166,-180,0))+IF(E$19=1,180,0)</f>
        <v>-0.8103110079235667</v>
      </c>
      <c r="F78" s="45">
        <f aca="true" t="shared" si="6" ref="F78:F99">IF(F122="",0,180/PI()*ATAN(F$31/(F100-F122))+IF(F100&gt;F122,-180,0))+IF(F144="",0,180/PI()*ATAN(F$31/(F144-F166))+IF(F144&gt;F166,-180,0))+IF(F$19=1,180,0)</f>
        <v>0</v>
      </c>
      <c r="G78" s="45">
        <f aca="true" t="shared" si="7" ref="G78:G99">IF(G122="",0,180/PI()*ATAN(G$31/(G100-G122))+IF(G100&gt;G122,-180,0))+IF(G144="",0,180/PI()*ATAN(G$31/(G144-G166))+IF(G144&gt;G166,-180,0))+IF(G$19=1,-180,0)</f>
        <v>-0.8103110079235667</v>
      </c>
      <c r="H78" s="45">
        <f aca="true" t="shared" si="8" ref="H78:H99">IF(H122="",0,180/PI()*ATAN(H$31/(H100-H122))+IF(H100&gt;H122,-180,0))+IF(H$19=1,-180,0)</f>
        <v>0</v>
      </c>
    </row>
    <row r="79" spans="1:8" ht="12" customHeight="1">
      <c r="A79" s="82"/>
      <c r="B79" s="4">
        <v>30</v>
      </c>
      <c r="C79" s="5" t="s">
        <v>130</v>
      </c>
      <c r="D79" s="2" t="s">
        <v>124</v>
      </c>
      <c r="E79" s="45">
        <f t="shared" si="5"/>
        <v>-1.215517144672699</v>
      </c>
      <c r="F79" s="45">
        <f t="shared" si="6"/>
        <v>0</v>
      </c>
      <c r="G79" s="45">
        <f t="shared" si="7"/>
        <v>-1.215517144672699</v>
      </c>
      <c r="H79" s="45">
        <f t="shared" si="8"/>
        <v>0</v>
      </c>
    </row>
    <row r="80" spans="1:8" ht="12" customHeight="1">
      <c r="A80" s="82"/>
      <c r="B80" s="4">
        <v>40</v>
      </c>
      <c r="C80" s="5" t="s">
        <v>130</v>
      </c>
      <c r="D80" s="2" t="s">
        <v>124</v>
      </c>
      <c r="E80" s="45">
        <f t="shared" si="5"/>
        <v>-1.6207840237419346</v>
      </c>
      <c r="F80" s="45">
        <f t="shared" si="6"/>
        <v>0</v>
      </c>
      <c r="G80" s="45">
        <f t="shared" si="7"/>
        <v>-1.6207840237419346</v>
      </c>
      <c r="H80" s="45">
        <f t="shared" si="8"/>
        <v>0</v>
      </c>
    </row>
    <row r="81" spans="1:8" ht="12" customHeight="1">
      <c r="A81" s="82"/>
      <c r="B81" s="4">
        <v>50</v>
      </c>
      <c r="C81" s="5" t="s">
        <v>130</v>
      </c>
      <c r="D81" s="2" t="s">
        <v>124</v>
      </c>
      <c r="E81" s="45">
        <f t="shared" si="5"/>
        <v>-2.0261318641831254</v>
      </c>
      <c r="F81" s="45">
        <f t="shared" si="6"/>
        <v>0</v>
      </c>
      <c r="G81" s="45">
        <f t="shared" si="7"/>
        <v>-2.0261318641831254</v>
      </c>
      <c r="H81" s="45">
        <f t="shared" si="8"/>
        <v>0</v>
      </c>
    </row>
    <row r="82" spans="1:8" ht="12" customHeight="1">
      <c r="A82" s="82"/>
      <c r="B82" s="4">
        <v>70</v>
      </c>
      <c r="C82" s="5" t="s">
        <v>130</v>
      </c>
      <c r="D82" s="2" t="s">
        <v>124</v>
      </c>
      <c r="E82" s="45">
        <f t="shared" si="5"/>
        <v>-2.837151177464555</v>
      </c>
      <c r="F82" s="45">
        <f t="shared" si="6"/>
        <v>0</v>
      </c>
      <c r="G82" s="45">
        <f t="shared" si="7"/>
        <v>-2.837151177464555</v>
      </c>
      <c r="H82" s="45">
        <f t="shared" si="8"/>
        <v>0</v>
      </c>
    </row>
    <row r="83" spans="1:8" ht="12" customHeight="1">
      <c r="A83" s="82"/>
      <c r="B83" s="4">
        <v>100</v>
      </c>
      <c r="C83" s="5" t="s">
        <v>130</v>
      </c>
      <c r="D83" s="2" t="s">
        <v>124</v>
      </c>
      <c r="E83" s="45">
        <f t="shared" si="5"/>
        <v>-4.054791104962806</v>
      </c>
      <c r="F83" s="45">
        <f t="shared" si="6"/>
        <v>0</v>
      </c>
      <c r="G83" s="45">
        <f t="shared" si="7"/>
        <v>-4.054791104962806</v>
      </c>
      <c r="H83" s="45">
        <f t="shared" si="8"/>
        <v>0</v>
      </c>
    </row>
    <row r="84" spans="1:8" ht="12" customHeight="1">
      <c r="A84" s="82"/>
      <c r="B84" s="4">
        <v>150</v>
      </c>
      <c r="C84" s="5" t="s">
        <v>130</v>
      </c>
      <c r="D84" s="2" t="s">
        <v>124</v>
      </c>
      <c r="E84" s="45">
        <f t="shared" si="5"/>
        <v>-6.088485989883947</v>
      </c>
      <c r="F84" s="45">
        <f t="shared" si="6"/>
        <v>0</v>
      </c>
      <c r="G84" s="45">
        <f t="shared" si="7"/>
        <v>-6.088485989883947</v>
      </c>
      <c r="H84" s="45">
        <f t="shared" si="8"/>
        <v>0</v>
      </c>
    </row>
    <row r="85" spans="1:8" ht="12" customHeight="1">
      <c r="A85" s="82"/>
      <c r="B85" s="4">
        <v>200</v>
      </c>
      <c r="C85" s="5" t="s">
        <v>130</v>
      </c>
      <c r="D85" s="2" t="s">
        <v>124</v>
      </c>
      <c r="E85" s="45">
        <f t="shared" si="5"/>
        <v>-8.129686217555903</v>
      </c>
      <c r="F85" s="45">
        <f t="shared" si="6"/>
        <v>0</v>
      </c>
      <c r="G85" s="45">
        <f t="shared" si="7"/>
        <v>-8.129686217555903</v>
      </c>
      <c r="H85" s="45">
        <f t="shared" si="8"/>
        <v>0</v>
      </c>
    </row>
    <row r="86" spans="1:8" ht="12" customHeight="1">
      <c r="A86" s="82"/>
      <c r="B86" s="4">
        <v>300</v>
      </c>
      <c r="C86" s="5" t="s">
        <v>130</v>
      </c>
      <c r="D86" s="2" t="s">
        <v>124</v>
      </c>
      <c r="E86" s="45">
        <f t="shared" si="5"/>
        <v>-12.244166757855453</v>
      </c>
      <c r="F86" s="45">
        <f t="shared" si="6"/>
        <v>0</v>
      </c>
      <c r="G86" s="45">
        <f t="shared" si="7"/>
        <v>-12.244166757855453</v>
      </c>
      <c r="H86" s="45">
        <f t="shared" si="8"/>
        <v>0</v>
      </c>
    </row>
    <row r="87" spans="1:8" ht="12" customHeight="1">
      <c r="A87" s="82"/>
      <c r="B87" s="4">
        <v>400</v>
      </c>
      <c r="C87" s="5" t="s">
        <v>130</v>
      </c>
      <c r="D87" s="2" t="s">
        <v>124</v>
      </c>
      <c r="E87" s="45">
        <f t="shared" si="5"/>
        <v>-16.416426160428514</v>
      </c>
      <c r="F87" s="45">
        <f t="shared" si="6"/>
        <v>0</v>
      </c>
      <c r="G87" s="45">
        <f t="shared" si="7"/>
        <v>-16.416426160428514</v>
      </c>
      <c r="H87" s="45">
        <f t="shared" si="8"/>
        <v>0</v>
      </c>
    </row>
    <row r="88" spans="1:8" ht="12" customHeight="1">
      <c r="A88" s="82"/>
      <c r="B88" s="4">
        <v>500</v>
      </c>
      <c r="C88" s="5" t="s">
        <v>130</v>
      </c>
      <c r="D88" s="2" t="s">
        <v>124</v>
      </c>
      <c r="E88" s="45">
        <f t="shared" si="5"/>
        <v>-20.662625895663176</v>
      </c>
      <c r="F88" s="45">
        <f t="shared" si="6"/>
        <v>0</v>
      </c>
      <c r="G88" s="45">
        <f t="shared" si="7"/>
        <v>-20.662625895663176</v>
      </c>
      <c r="H88" s="45">
        <f t="shared" si="8"/>
        <v>0</v>
      </c>
    </row>
    <row r="89" spans="1:8" ht="12" customHeight="1">
      <c r="A89" s="82"/>
      <c r="B89" s="4">
        <v>700</v>
      </c>
      <c r="C89" s="5" t="s">
        <v>130</v>
      </c>
      <c r="D89" s="2" t="s">
        <v>124</v>
      </c>
      <c r="E89" s="45">
        <f t="shared" si="5"/>
        <v>-29.426179043354836</v>
      </c>
      <c r="F89" s="45">
        <f t="shared" si="6"/>
        <v>0</v>
      </c>
      <c r="G89" s="45">
        <f t="shared" si="7"/>
        <v>-29.426179043354836</v>
      </c>
      <c r="H89" s="45">
        <f t="shared" si="8"/>
        <v>0</v>
      </c>
    </row>
    <row r="90" spans="1:8" ht="12" customHeight="1">
      <c r="A90" s="82"/>
      <c r="B90" s="4" t="s">
        <v>21</v>
      </c>
      <c r="C90" s="5" t="s">
        <v>130</v>
      </c>
      <c r="D90" s="2" t="s">
        <v>124</v>
      </c>
      <c r="E90" s="45">
        <f t="shared" si="5"/>
        <v>-43.313816398392106</v>
      </c>
      <c r="F90" s="45">
        <f t="shared" si="6"/>
        <v>0</v>
      </c>
      <c r="G90" s="45">
        <f t="shared" si="7"/>
        <v>-43.313816398392106</v>
      </c>
      <c r="H90" s="45">
        <f t="shared" si="8"/>
        <v>0</v>
      </c>
    </row>
    <row r="91" spans="1:8" ht="12" customHeight="1">
      <c r="A91" s="82"/>
      <c r="B91" s="4" t="s">
        <v>22</v>
      </c>
      <c r="C91" s="5" t="s">
        <v>130</v>
      </c>
      <c r="D91" s="2" t="s">
        <v>124</v>
      </c>
      <c r="E91" s="45">
        <f t="shared" si="5"/>
        <v>-67.5848220188241</v>
      </c>
      <c r="F91" s="45">
        <f t="shared" si="6"/>
        <v>0</v>
      </c>
      <c r="G91" s="45">
        <f t="shared" si="7"/>
        <v>-67.5848220188241</v>
      </c>
      <c r="H91" s="45">
        <f t="shared" si="8"/>
        <v>0</v>
      </c>
    </row>
    <row r="92" spans="1:8" ht="12" customHeight="1">
      <c r="A92" s="82"/>
      <c r="B92" s="4" t="s">
        <v>23</v>
      </c>
      <c r="C92" s="5" t="s">
        <v>130</v>
      </c>
      <c r="D92" s="2" t="s">
        <v>124</v>
      </c>
      <c r="E92" s="45">
        <f t="shared" si="5"/>
        <v>-89.99993155815174</v>
      </c>
      <c r="F92" s="45">
        <f t="shared" si="6"/>
        <v>0</v>
      </c>
      <c r="G92" s="45">
        <f t="shared" si="7"/>
        <v>-89.99993155815174</v>
      </c>
      <c r="H92" s="45">
        <f t="shared" si="8"/>
        <v>0</v>
      </c>
    </row>
    <row r="93" spans="1:8" ht="12" customHeight="1">
      <c r="A93" s="82"/>
      <c r="B93" s="4" t="s">
        <v>24</v>
      </c>
      <c r="C93" s="5" t="s">
        <v>130</v>
      </c>
      <c r="D93" s="2" t="s">
        <v>124</v>
      </c>
      <c r="E93" s="45">
        <f t="shared" si="5"/>
        <v>-120.50890383046757</v>
      </c>
      <c r="F93" s="45">
        <f t="shared" si="6"/>
        <v>0</v>
      </c>
      <c r="G93" s="45">
        <f t="shared" si="7"/>
        <v>-120.50890383046757</v>
      </c>
      <c r="H93" s="45">
        <f t="shared" si="8"/>
        <v>0</v>
      </c>
    </row>
    <row r="94" spans="1:8" ht="12" customHeight="1">
      <c r="A94" s="82"/>
      <c r="B94" s="4" t="s">
        <v>25</v>
      </c>
      <c r="C94" s="5" t="s">
        <v>130</v>
      </c>
      <c r="D94" s="2" t="s">
        <v>124</v>
      </c>
      <c r="E94" s="45">
        <f t="shared" si="5"/>
        <v>-136.6861030817864</v>
      </c>
      <c r="F94" s="45">
        <f t="shared" si="6"/>
        <v>0</v>
      </c>
      <c r="G94" s="45">
        <f t="shared" si="7"/>
        <v>-136.6861030817864</v>
      </c>
      <c r="H94" s="45">
        <f t="shared" si="8"/>
        <v>0</v>
      </c>
    </row>
    <row r="95" spans="1:8" ht="12" customHeight="1">
      <c r="A95" s="82"/>
      <c r="B95" s="4" t="s">
        <v>26</v>
      </c>
      <c r="C95" s="5" t="s">
        <v>130</v>
      </c>
      <c r="D95" s="2" t="s">
        <v>124</v>
      </c>
      <c r="E95" s="45">
        <f t="shared" si="5"/>
        <v>-146.04226354701763</v>
      </c>
      <c r="F95" s="45">
        <f t="shared" si="6"/>
        <v>0</v>
      </c>
      <c r="G95" s="45">
        <f t="shared" si="7"/>
        <v>-146.04226354701763</v>
      </c>
      <c r="H95" s="45">
        <f t="shared" si="8"/>
        <v>0</v>
      </c>
    </row>
    <row r="96" spans="1:8" ht="12" customHeight="1">
      <c r="A96" s="82"/>
      <c r="B96" s="4" t="s">
        <v>27</v>
      </c>
      <c r="C96" s="5" t="s">
        <v>130</v>
      </c>
      <c r="D96" s="2" t="s">
        <v>124</v>
      </c>
      <c r="E96" s="45">
        <f t="shared" si="5"/>
        <v>-156.25156202952564</v>
      </c>
      <c r="F96" s="45">
        <f t="shared" si="6"/>
        <v>0</v>
      </c>
      <c r="G96" s="45">
        <f t="shared" si="7"/>
        <v>-156.25156202952564</v>
      </c>
      <c r="H96" s="45">
        <f t="shared" si="8"/>
        <v>0</v>
      </c>
    </row>
    <row r="97" spans="1:8" ht="12" customHeight="1">
      <c r="A97" s="82"/>
      <c r="B97" s="4" t="s">
        <v>28</v>
      </c>
      <c r="C97" s="5" t="s">
        <v>130</v>
      </c>
      <c r="D97" s="2" t="s">
        <v>124</v>
      </c>
      <c r="E97" s="45">
        <f t="shared" si="5"/>
        <v>-163.58354541324474</v>
      </c>
      <c r="F97" s="45">
        <f t="shared" si="6"/>
        <v>0</v>
      </c>
      <c r="G97" s="45">
        <f t="shared" si="7"/>
        <v>-163.58354541324474</v>
      </c>
      <c r="H97" s="45">
        <f t="shared" si="8"/>
        <v>0</v>
      </c>
    </row>
    <row r="98" spans="1:8" ht="12" customHeight="1">
      <c r="A98" s="82"/>
      <c r="B98" s="4" t="s">
        <v>29</v>
      </c>
      <c r="C98" s="5" t="s">
        <v>130</v>
      </c>
      <c r="D98" s="2" t="s">
        <v>124</v>
      </c>
      <c r="E98" s="45">
        <f t="shared" si="5"/>
        <v>-169.13286388444337</v>
      </c>
      <c r="F98" s="45">
        <f t="shared" si="6"/>
        <v>0</v>
      </c>
      <c r="G98" s="45">
        <f t="shared" si="7"/>
        <v>-169.13286388444337</v>
      </c>
      <c r="H98" s="45">
        <f t="shared" si="8"/>
        <v>0</v>
      </c>
    </row>
    <row r="99" spans="1:8" ht="12" customHeight="1">
      <c r="A99" s="83"/>
      <c r="B99" s="4" t="s">
        <v>30</v>
      </c>
      <c r="C99" s="5" t="s">
        <v>130</v>
      </c>
      <c r="D99" s="2" t="s">
        <v>124</v>
      </c>
      <c r="E99" s="45">
        <f t="shared" si="5"/>
        <v>-171.87029995857313</v>
      </c>
      <c r="F99" s="45">
        <f t="shared" si="6"/>
        <v>0</v>
      </c>
      <c r="G99" s="45">
        <f t="shared" si="7"/>
        <v>-171.87029995857313</v>
      </c>
      <c r="H99" s="45">
        <f t="shared" si="8"/>
        <v>0</v>
      </c>
    </row>
    <row r="100" spans="1:8" ht="12" customHeight="1">
      <c r="A100" s="81" t="s">
        <v>202</v>
      </c>
      <c r="B100" s="4">
        <v>20</v>
      </c>
      <c r="C100" s="5" t="s">
        <v>130</v>
      </c>
      <c r="D100" s="2" t="s">
        <v>201</v>
      </c>
      <c r="E100" s="6">
        <f aca="true" t="shared" si="9" ref="E100:H121">IF(E$22="","",2*3.14159*$B100*E$22*0.001)</f>
      </c>
      <c r="F100" s="6">
        <f t="shared" si="9"/>
      </c>
      <c r="G100" s="6">
        <f t="shared" si="9"/>
        <v>0.04242637103514004</v>
      </c>
      <c r="H100" s="6">
        <f t="shared" si="9"/>
      </c>
    </row>
    <row r="101" spans="1:8" ht="12" customHeight="1">
      <c r="A101" s="82"/>
      <c r="B101" s="4">
        <v>30</v>
      </c>
      <c r="C101" s="5" t="s">
        <v>130</v>
      </c>
      <c r="D101" s="2" t="s">
        <v>201</v>
      </c>
      <c r="E101" s="6">
        <f t="shared" si="9"/>
      </c>
      <c r="F101" s="6">
        <f t="shared" si="9"/>
      </c>
      <c r="G101" s="6">
        <f t="shared" si="9"/>
        <v>0.06363955655271006</v>
      </c>
      <c r="H101" s="6">
        <f t="shared" si="9"/>
      </c>
    </row>
    <row r="102" spans="1:8" ht="12" customHeight="1">
      <c r="A102" s="82"/>
      <c r="B102" s="4">
        <v>40</v>
      </c>
      <c r="C102" s="5" t="s">
        <v>130</v>
      </c>
      <c r="D102" s="2" t="s">
        <v>201</v>
      </c>
      <c r="E102" s="6">
        <f t="shared" si="9"/>
      </c>
      <c r="F102" s="6">
        <f t="shared" si="9"/>
      </c>
      <c r="G102" s="6">
        <f t="shared" si="9"/>
        <v>0.08485274207028008</v>
      </c>
      <c r="H102" s="6">
        <f t="shared" si="9"/>
      </c>
    </row>
    <row r="103" spans="1:8" ht="12" customHeight="1">
      <c r="A103" s="82"/>
      <c r="B103" s="4">
        <v>50</v>
      </c>
      <c r="C103" s="5" t="s">
        <v>130</v>
      </c>
      <c r="D103" s="2" t="s">
        <v>201</v>
      </c>
      <c r="E103" s="6">
        <f t="shared" si="9"/>
      </c>
      <c r="F103" s="6">
        <f t="shared" si="9"/>
      </c>
      <c r="G103" s="6">
        <f t="shared" si="9"/>
        <v>0.10606592758785012</v>
      </c>
      <c r="H103" s="6">
        <f t="shared" si="9"/>
      </c>
    </row>
    <row r="104" spans="1:8" ht="12" customHeight="1">
      <c r="A104" s="82"/>
      <c r="B104" s="4">
        <v>70</v>
      </c>
      <c r="C104" s="5" t="s">
        <v>130</v>
      </c>
      <c r="D104" s="2" t="s">
        <v>201</v>
      </c>
      <c r="E104" s="6">
        <f t="shared" si="9"/>
      </c>
      <c r="F104" s="6">
        <f t="shared" si="9"/>
      </c>
      <c r="G104" s="6">
        <f t="shared" si="9"/>
        <v>0.14849229862299015</v>
      </c>
      <c r="H104" s="6">
        <f t="shared" si="9"/>
      </c>
    </row>
    <row r="105" spans="1:8" ht="12" customHeight="1">
      <c r="A105" s="82"/>
      <c r="B105" s="4">
        <v>100</v>
      </c>
      <c r="C105" s="5" t="s">
        <v>130</v>
      </c>
      <c r="D105" s="2" t="s">
        <v>201</v>
      </c>
      <c r="E105" s="6">
        <f t="shared" si="9"/>
      </c>
      <c r="F105" s="6">
        <f t="shared" si="9"/>
      </c>
      <c r="G105" s="6">
        <f t="shared" si="9"/>
        <v>0.21213185517570024</v>
      </c>
      <c r="H105" s="6">
        <f t="shared" si="9"/>
      </c>
    </row>
    <row r="106" spans="1:8" ht="12" customHeight="1">
      <c r="A106" s="82"/>
      <c r="B106" s="4">
        <v>150</v>
      </c>
      <c r="C106" s="5" t="s">
        <v>130</v>
      </c>
      <c r="D106" s="2" t="s">
        <v>201</v>
      </c>
      <c r="E106" s="6">
        <f t="shared" si="9"/>
      </c>
      <c r="F106" s="6">
        <f t="shared" si="9"/>
      </c>
      <c r="G106" s="6">
        <f t="shared" si="9"/>
        <v>0.3181977827635503</v>
      </c>
      <c r="H106" s="6">
        <f t="shared" si="9"/>
      </c>
    </row>
    <row r="107" spans="1:8" ht="12" customHeight="1">
      <c r="A107" s="82"/>
      <c r="B107" s="4">
        <v>200</v>
      </c>
      <c r="C107" s="5" t="s">
        <v>130</v>
      </c>
      <c r="D107" s="2" t="s">
        <v>201</v>
      </c>
      <c r="E107" s="6">
        <f t="shared" si="9"/>
      </c>
      <c r="F107" s="6">
        <f t="shared" si="9"/>
      </c>
      <c r="G107" s="6">
        <f t="shared" si="9"/>
        <v>0.4242637103514005</v>
      </c>
      <c r="H107" s="6">
        <f t="shared" si="9"/>
      </c>
    </row>
    <row r="108" spans="1:8" ht="12" customHeight="1">
      <c r="A108" s="82"/>
      <c r="B108" s="4">
        <v>300</v>
      </c>
      <c r="C108" s="5" t="s">
        <v>130</v>
      </c>
      <c r="D108" s="2" t="s">
        <v>201</v>
      </c>
      <c r="E108" s="6">
        <f t="shared" si="9"/>
      </c>
      <c r="F108" s="6">
        <f t="shared" si="9"/>
      </c>
      <c r="G108" s="6">
        <f t="shared" si="9"/>
        <v>0.6363955655271006</v>
      </c>
      <c r="H108" s="6">
        <f t="shared" si="9"/>
      </c>
    </row>
    <row r="109" spans="1:8" ht="12" customHeight="1">
      <c r="A109" s="82"/>
      <c r="B109" s="4">
        <v>400</v>
      </c>
      <c r="C109" s="5" t="s">
        <v>130</v>
      </c>
      <c r="D109" s="2" t="s">
        <v>201</v>
      </c>
      <c r="E109" s="6">
        <f t="shared" si="9"/>
      </c>
      <c r="F109" s="6">
        <f t="shared" si="9"/>
      </c>
      <c r="G109" s="6">
        <f t="shared" si="9"/>
        <v>0.848527420702801</v>
      </c>
      <c r="H109" s="6">
        <f t="shared" si="9"/>
      </c>
    </row>
    <row r="110" spans="1:8" ht="12" customHeight="1">
      <c r="A110" s="82"/>
      <c r="B110" s="4">
        <v>500</v>
      </c>
      <c r="C110" s="5" t="s">
        <v>130</v>
      </c>
      <c r="D110" s="2" t="s">
        <v>201</v>
      </c>
      <c r="E110" s="6">
        <f t="shared" si="9"/>
      </c>
      <c r="F110" s="6">
        <f t="shared" si="9"/>
      </c>
      <c r="G110" s="6">
        <f t="shared" si="9"/>
        <v>1.060659275878501</v>
      </c>
      <c r="H110" s="6">
        <f t="shared" si="9"/>
      </c>
    </row>
    <row r="111" spans="1:8" ht="12" customHeight="1">
      <c r="A111" s="82"/>
      <c r="B111" s="4">
        <v>700</v>
      </c>
      <c r="C111" s="5" t="s">
        <v>130</v>
      </c>
      <c r="D111" s="2" t="s">
        <v>201</v>
      </c>
      <c r="E111" s="6">
        <f t="shared" si="9"/>
      </c>
      <c r="F111" s="6">
        <f t="shared" si="9"/>
      </c>
      <c r="G111" s="6">
        <f t="shared" si="9"/>
        <v>1.4849229862299014</v>
      </c>
      <c r="H111" s="6">
        <f t="shared" si="9"/>
      </c>
    </row>
    <row r="112" spans="1:8" ht="12" customHeight="1">
      <c r="A112" s="82"/>
      <c r="B112" s="4">
        <v>1000</v>
      </c>
      <c r="C112" s="5" t="s">
        <v>130</v>
      </c>
      <c r="D112" s="2" t="s">
        <v>201</v>
      </c>
      <c r="E112" s="6">
        <f t="shared" si="9"/>
      </c>
      <c r="F112" s="6">
        <f t="shared" si="9"/>
      </c>
      <c r="G112" s="6">
        <f t="shared" si="9"/>
        <v>2.121318551757002</v>
      </c>
      <c r="H112" s="6">
        <f t="shared" si="9"/>
      </c>
    </row>
    <row r="113" spans="1:8" ht="12" customHeight="1">
      <c r="A113" s="82"/>
      <c r="B113" s="4">
        <v>1500</v>
      </c>
      <c r="C113" s="5" t="s">
        <v>130</v>
      </c>
      <c r="D113" s="2" t="s">
        <v>201</v>
      </c>
      <c r="E113" s="6">
        <f t="shared" si="9"/>
      </c>
      <c r="F113" s="6">
        <f t="shared" si="9"/>
      </c>
      <c r="G113" s="6">
        <f t="shared" si="9"/>
        <v>3.181977827635503</v>
      </c>
      <c r="H113" s="6">
        <f t="shared" si="9"/>
      </c>
    </row>
    <row r="114" spans="1:8" ht="12" customHeight="1">
      <c r="A114" s="82"/>
      <c r="B114" s="4">
        <v>2000</v>
      </c>
      <c r="C114" s="5" t="s">
        <v>130</v>
      </c>
      <c r="D114" s="2" t="s">
        <v>201</v>
      </c>
      <c r="E114" s="6">
        <f t="shared" si="9"/>
      </c>
      <c r="F114" s="6">
        <f t="shared" si="9"/>
      </c>
      <c r="G114" s="6">
        <f t="shared" si="9"/>
        <v>4.242637103514004</v>
      </c>
      <c r="H114" s="6">
        <f t="shared" si="9"/>
      </c>
    </row>
    <row r="115" spans="1:8" ht="12" customHeight="1">
      <c r="A115" s="82"/>
      <c r="B115" s="4">
        <v>3000</v>
      </c>
      <c r="C115" s="5" t="s">
        <v>130</v>
      </c>
      <c r="D115" s="2" t="s">
        <v>201</v>
      </c>
      <c r="E115" s="6">
        <f t="shared" si="9"/>
      </c>
      <c r="F115" s="6">
        <f t="shared" si="9"/>
      </c>
      <c r="G115" s="6">
        <f t="shared" si="9"/>
        <v>6.363955655271006</v>
      </c>
      <c r="H115" s="6">
        <f t="shared" si="9"/>
      </c>
    </row>
    <row r="116" spans="1:8" ht="12" customHeight="1">
      <c r="A116" s="82"/>
      <c r="B116" s="4">
        <v>4000</v>
      </c>
      <c r="C116" s="5" t="s">
        <v>130</v>
      </c>
      <c r="D116" s="2" t="s">
        <v>201</v>
      </c>
      <c r="E116" s="6">
        <f t="shared" si="9"/>
      </c>
      <c r="F116" s="6">
        <f t="shared" si="9"/>
      </c>
      <c r="G116" s="6">
        <f t="shared" si="9"/>
        <v>8.485274207028008</v>
      </c>
      <c r="H116" s="6">
        <f t="shared" si="9"/>
      </c>
    </row>
    <row r="117" spans="1:8" ht="12" customHeight="1">
      <c r="A117" s="82"/>
      <c r="B117" s="4">
        <v>5000</v>
      </c>
      <c r="C117" s="5" t="s">
        <v>130</v>
      </c>
      <c r="D117" s="2" t="s">
        <v>201</v>
      </c>
      <c r="E117" s="6">
        <f t="shared" si="9"/>
      </c>
      <c r="F117" s="6">
        <f t="shared" si="9"/>
      </c>
      <c r="G117" s="6">
        <f t="shared" si="9"/>
        <v>10.60659275878501</v>
      </c>
      <c r="H117" s="6">
        <f t="shared" si="9"/>
      </c>
    </row>
    <row r="118" spans="1:8" ht="12" customHeight="1">
      <c r="A118" s="82"/>
      <c r="B118" s="4">
        <v>7000</v>
      </c>
      <c r="C118" s="5" t="s">
        <v>130</v>
      </c>
      <c r="D118" s="2" t="s">
        <v>201</v>
      </c>
      <c r="E118" s="6">
        <f t="shared" si="9"/>
      </c>
      <c r="F118" s="6">
        <f t="shared" si="9"/>
      </c>
      <c r="G118" s="6">
        <f t="shared" si="9"/>
        <v>14.849229862299014</v>
      </c>
      <c r="H118" s="6">
        <f t="shared" si="9"/>
      </c>
    </row>
    <row r="119" spans="1:8" ht="12" customHeight="1">
      <c r="A119" s="82"/>
      <c r="B119" s="4">
        <v>10000</v>
      </c>
      <c r="C119" s="5" t="s">
        <v>130</v>
      </c>
      <c r="D119" s="2" t="s">
        <v>201</v>
      </c>
      <c r="E119" s="6">
        <f t="shared" si="9"/>
      </c>
      <c r="F119" s="6">
        <f t="shared" si="9"/>
      </c>
      <c r="G119" s="6">
        <f t="shared" si="9"/>
        <v>21.21318551757002</v>
      </c>
      <c r="H119" s="6">
        <f t="shared" si="9"/>
      </c>
    </row>
    <row r="120" spans="1:8" ht="12" customHeight="1">
      <c r="A120" s="82"/>
      <c r="B120" s="4">
        <v>15000</v>
      </c>
      <c r="C120" s="5" t="s">
        <v>130</v>
      </c>
      <c r="D120" s="2" t="s">
        <v>201</v>
      </c>
      <c r="E120" s="6">
        <f t="shared" si="9"/>
      </c>
      <c r="F120" s="6">
        <f t="shared" si="9"/>
      </c>
      <c r="G120" s="6">
        <f t="shared" si="9"/>
        <v>31.81977827635503</v>
      </c>
      <c r="H120" s="6">
        <f t="shared" si="9"/>
      </c>
    </row>
    <row r="121" spans="1:8" ht="12" customHeight="1">
      <c r="A121" s="83"/>
      <c r="B121" s="4">
        <v>20000</v>
      </c>
      <c r="C121" s="5" t="s">
        <v>130</v>
      </c>
      <c r="D121" s="2" t="s">
        <v>201</v>
      </c>
      <c r="E121" s="6">
        <f t="shared" si="9"/>
      </c>
      <c r="F121" s="6">
        <f t="shared" si="9"/>
      </c>
      <c r="G121" s="6">
        <f t="shared" si="9"/>
        <v>42.42637103514004</v>
      </c>
      <c r="H121" s="6">
        <f t="shared" si="9"/>
      </c>
    </row>
    <row r="122" spans="1:8" ht="12" customHeight="1">
      <c r="A122" s="81" t="s">
        <v>203</v>
      </c>
      <c r="B122" s="4">
        <v>20</v>
      </c>
      <c r="C122" s="5" t="s">
        <v>130</v>
      </c>
      <c r="D122" s="2" t="s">
        <v>201</v>
      </c>
      <c r="E122" s="6">
        <f aca="true" t="shared" si="10" ref="E122:H143">IF(E$23="","",1/(2*3.14159*$B100*E$23/1000000))</f>
      </c>
      <c r="F122" s="6">
        <f t="shared" si="10"/>
      </c>
      <c r="G122" s="6">
        <f t="shared" si="10"/>
        <v>424.2644270727593</v>
      </c>
      <c r="H122" s="6">
        <f t="shared" si="10"/>
      </c>
    </row>
    <row r="123" spans="1:8" ht="12" customHeight="1">
      <c r="A123" s="82"/>
      <c r="B123" s="4">
        <v>30</v>
      </c>
      <c r="C123" s="5" t="s">
        <v>130</v>
      </c>
      <c r="D123" s="2" t="s">
        <v>201</v>
      </c>
      <c r="E123" s="6">
        <f t="shared" si="10"/>
      </c>
      <c r="F123" s="6">
        <f t="shared" si="10"/>
      </c>
      <c r="G123" s="6">
        <f t="shared" si="10"/>
        <v>282.8429513818395</v>
      </c>
      <c r="H123" s="6">
        <f t="shared" si="10"/>
      </c>
    </row>
    <row r="124" spans="1:8" ht="12" customHeight="1">
      <c r="A124" s="82"/>
      <c r="B124" s="4">
        <v>40</v>
      </c>
      <c r="C124" s="5" t="s">
        <v>130</v>
      </c>
      <c r="D124" s="2" t="s">
        <v>201</v>
      </c>
      <c r="E124" s="6">
        <f t="shared" si="10"/>
      </c>
      <c r="F124" s="6">
        <f t="shared" si="10"/>
      </c>
      <c r="G124" s="6">
        <f t="shared" si="10"/>
        <v>212.13221353637965</v>
      </c>
      <c r="H124" s="6">
        <f t="shared" si="10"/>
      </c>
    </row>
    <row r="125" spans="1:8" ht="12" customHeight="1">
      <c r="A125" s="82"/>
      <c r="B125" s="4">
        <v>50</v>
      </c>
      <c r="C125" s="5" t="s">
        <v>130</v>
      </c>
      <c r="D125" s="2" t="s">
        <v>201</v>
      </c>
      <c r="E125" s="6">
        <f t="shared" si="10"/>
      </c>
      <c r="F125" s="6">
        <f t="shared" si="10"/>
      </c>
      <c r="G125" s="6">
        <f t="shared" si="10"/>
        <v>169.70577082910373</v>
      </c>
      <c r="H125" s="6">
        <f t="shared" si="10"/>
      </c>
    </row>
    <row r="126" spans="1:8" ht="12" customHeight="1">
      <c r="A126" s="82"/>
      <c r="B126" s="4">
        <v>70</v>
      </c>
      <c r="C126" s="5" t="s">
        <v>130</v>
      </c>
      <c r="D126" s="2" t="s">
        <v>201</v>
      </c>
      <c r="E126" s="6">
        <f t="shared" si="10"/>
      </c>
      <c r="F126" s="6">
        <f t="shared" si="10"/>
      </c>
      <c r="G126" s="6">
        <f t="shared" si="10"/>
        <v>121.2184077350741</v>
      </c>
      <c r="H126" s="6">
        <f t="shared" si="10"/>
      </c>
    </row>
    <row r="127" spans="1:8" ht="12" customHeight="1">
      <c r="A127" s="82"/>
      <c r="B127" s="4">
        <v>100</v>
      </c>
      <c r="C127" s="5" t="s">
        <v>130</v>
      </c>
      <c r="D127" s="2" t="s">
        <v>201</v>
      </c>
      <c r="E127" s="6">
        <f t="shared" si="10"/>
      </c>
      <c r="F127" s="6">
        <f t="shared" si="10"/>
      </c>
      <c r="G127" s="6">
        <f t="shared" si="10"/>
        <v>84.85288541455186</v>
      </c>
      <c r="H127" s="6">
        <f t="shared" si="10"/>
      </c>
    </row>
    <row r="128" spans="1:8" ht="12" customHeight="1">
      <c r="A128" s="82"/>
      <c r="B128" s="4">
        <v>150</v>
      </c>
      <c r="C128" s="5" t="s">
        <v>130</v>
      </c>
      <c r="D128" s="2" t="s">
        <v>201</v>
      </c>
      <c r="E128" s="6">
        <f t="shared" si="10"/>
      </c>
      <c r="F128" s="6">
        <f t="shared" si="10"/>
      </c>
      <c r="G128" s="6">
        <f t="shared" si="10"/>
        <v>56.56859027636791</v>
      </c>
      <c r="H128" s="6">
        <f t="shared" si="10"/>
      </c>
    </row>
    <row r="129" spans="1:8" ht="12" customHeight="1">
      <c r="A129" s="82"/>
      <c r="B129" s="4">
        <v>200</v>
      </c>
      <c r="C129" s="5" t="s">
        <v>130</v>
      </c>
      <c r="D129" s="2" t="s">
        <v>201</v>
      </c>
      <c r="E129" s="6">
        <f t="shared" si="10"/>
      </c>
      <c r="F129" s="6">
        <f t="shared" si="10"/>
      </c>
      <c r="G129" s="6">
        <f t="shared" si="10"/>
        <v>42.42644270727593</v>
      </c>
      <c r="H129" s="6">
        <f t="shared" si="10"/>
      </c>
    </row>
    <row r="130" spans="1:8" ht="12" customHeight="1">
      <c r="A130" s="82"/>
      <c r="B130" s="4">
        <v>300</v>
      </c>
      <c r="C130" s="5" t="s">
        <v>130</v>
      </c>
      <c r="D130" s="2" t="s">
        <v>201</v>
      </c>
      <c r="E130" s="6">
        <f t="shared" si="10"/>
      </c>
      <c r="F130" s="6">
        <f t="shared" si="10"/>
      </c>
      <c r="G130" s="6">
        <f t="shared" si="10"/>
        <v>28.284295138183953</v>
      </c>
      <c r="H130" s="6">
        <f t="shared" si="10"/>
      </c>
    </row>
    <row r="131" spans="1:8" ht="12" customHeight="1">
      <c r="A131" s="82"/>
      <c r="B131" s="4">
        <v>400</v>
      </c>
      <c r="C131" s="5" t="s">
        <v>130</v>
      </c>
      <c r="D131" s="2" t="s">
        <v>201</v>
      </c>
      <c r="E131" s="6">
        <f t="shared" si="10"/>
      </c>
      <c r="F131" s="6">
        <f t="shared" si="10"/>
      </c>
      <c r="G131" s="6">
        <f t="shared" si="10"/>
        <v>21.213221353637966</v>
      </c>
      <c r="H131" s="6">
        <f t="shared" si="10"/>
      </c>
    </row>
    <row r="132" spans="1:8" ht="12" customHeight="1">
      <c r="A132" s="82"/>
      <c r="B132" s="4">
        <v>500</v>
      </c>
      <c r="C132" s="5" t="s">
        <v>130</v>
      </c>
      <c r="D132" s="2" t="s">
        <v>201</v>
      </c>
      <c r="E132" s="6">
        <f t="shared" si="10"/>
      </c>
      <c r="F132" s="6">
        <f t="shared" si="10"/>
      </c>
      <c r="G132" s="6">
        <f t="shared" si="10"/>
        <v>16.970577082910374</v>
      </c>
      <c r="H132" s="6">
        <f t="shared" si="10"/>
      </c>
    </row>
    <row r="133" spans="1:8" ht="12" customHeight="1">
      <c r="A133" s="82"/>
      <c r="B133" s="4">
        <v>700</v>
      </c>
      <c r="C133" s="5" t="s">
        <v>130</v>
      </c>
      <c r="D133" s="2" t="s">
        <v>201</v>
      </c>
      <c r="E133" s="6">
        <f t="shared" si="10"/>
      </c>
      <c r="F133" s="6">
        <f t="shared" si="10"/>
      </c>
      <c r="G133" s="6">
        <f t="shared" si="10"/>
        <v>12.12184077350741</v>
      </c>
      <c r="H133" s="6">
        <f t="shared" si="10"/>
      </c>
    </row>
    <row r="134" spans="1:8" ht="12" customHeight="1">
      <c r="A134" s="82"/>
      <c r="B134" s="4" t="s">
        <v>53</v>
      </c>
      <c r="C134" s="5" t="s">
        <v>130</v>
      </c>
      <c r="D134" s="2" t="s">
        <v>201</v>
      </c>
      <c r="E134" s="6">
        <f t="shared" si="10"/>
      </c>
      <c r="F134" s="6">
        <f t="shared" si="10"/>
      </c>
      <c r="G134" s="6">
        <f t="shared" si="10"/>
        <v>8.485288541455187</v>
      </c>
      <c r="H134" s="6">
        <f t="shared" si="10"/>
      </c>
    </row>
    <row r="135" spans="1:8" ht="12" customHeight="1">
      <c r="A135" s="82"/>
      <c r="B135" s="4" t="s">
        <v>54</v>
      </c>
      <c r="C135" s="5" t="s">
        <v>130</v>
      </c>
      <c r="D135" s="2" t="s">
        <v>201</v>
      </c>
      <c r="E135" s="6">
        <f t="shared" si="10"/>
      </c>
      <c r="F135" s="6">
        <f t="shared" si="10"/>
      </c>
      <c r="G135" s="6">
        <f t="shared" si="10"/>
        <v>5.65685902763679</v>
      </c>
      <c r="H135" s="6">
        <f t="shared" si="10"/>
      </c>
    </row>
    <row r="136" spans="1:8" ht="12" customHeight="1">
      <c r="A136" s="82"/>
      <c r="B136" s="4" t="s">
        <v>55</v>
      </c>
      <c r="C136" s="5" t="s">
        <v>130</v>
      </c>
      <c r="D136" s="2" t="s">
        <v>201</v>
      </c>
      <c r="E136" s="6">
        <f t="shared" si="10"/>
      </c>
      <c r="F136" s="6">
        <f t="shared" si="10"/>
      </c>
      <c r="G136" s="6">
        <f t="shared" si="10"/>
        <v>4.2426442707275935</v>
      </c>
      <c r="H136" s="6">
        <f t="shared" si="10"/>
      </c>
    </row>
    <row r="137" spans="1:8" ht="12" customHeight="1">
      <c r="A137" s="82"/>
      <c r="B137" s="4" t="s">
        <v>56</v>
      </c>
      <c r="C137" s="5" t="s">
        <v>130</v>
      </c>
      <c r="D137" s="2" t="s">
        <v>201</v>
      </c>
      <c r="E137" s="6">
        <f t="shared" si="10"/>
      </c>
      <c r="F137" s="6">
        <f t="shared" si="10"/>
      </c>
      <c r="G137" s="6">
        <f t="shared" si="10"/>
        <v>2.828429513818395</v>
      </c>
      <c r="H137" s="6">
        <f t="shared" si="10"/>
      </c>
    </row>
    <row r="138" spans="1:8" ht="12" customHeight="1">
      <c r="A138" s="82"/>
      <c r="B138" s="4" t="s">
        <v>57</v>
      </c>
      <c r="C138" s="5" t="s">
        <v>130</v>
      </c>
      <c r="D138" s="2" t="s">
        <v>201</v>
      </c>
      <c r="E138" s="6">
        <f t="shared" si="10"/>
      </c>
      <c r="F138" s="6">
        <f t="shared" si="10"/>
      </c>
      <c r="G138" s="6">
        <f t="shared" si="10"/>
        <v>2.1213221353637968</v>
      </c>
      <c r="H138" s="6">
        <f t="shared" si="10"/>
      </c>
    </row>
    <row r="139" spans="1:8" ht="12" customHeight="1">
      <c r="A139" s="82"/>
      <c r="B139" s="4" t="s">
        <v>58</v>
      </c>
      <c r="C139" s="5" t="s">
        <v>130</v>
      </c>
      <c r="D139" s="2" t="s">
        <v>201</v>
      </c>
      <c r="E139" s="6">
        <f t="shared" si="10"/>
      </c>
      <c r="F139" s="6">
        <f t="shared" si="10"/>
      </c>
      <c r="G139" s="6">
        <f t="shared" si="10"/>
        <v>1.6970577082910372</v>
      </c>
      <c r="H139" s="6">
        <f t="shared" si="10"/>
      </c>
    </row>
    <row r="140" spans="1:8" ht="12" customHeight="1">
      <c r="A140" s="82"/>
      <c r="B140" s="4" t="s">
        <v>59</v>
      </c>
      <c r="C140" s="5" t="s">
        <v>130</v>
      </c>
      <c r="D140" s="2" t="s">
        <v>201</v>
      </c>
      <c r="E140" s="6">
        <f t="shared" si="10"/>
      </c>
      <c r="F140" s="6">
        <f t="shared" si="10"/>
      </c>
      <c r="G140" s="6">
        <f t="shared" si="10"/>
        <v>1.2121840773507409</v>
      </c>
      <c r="H140" s="6">
        <f t="shared" si="10"/>
      </c>
    </row>
    <row r="141" spans="1:8" ht="12" customHeight="1">
      <c r="A141" s="82"/>
      <c r="B141" s="4" t="s">
        <v>60</v>
      </c>
      <c r="C141" s="5" t="s">
        <v>130</v>
      </c>
      <c r="D141" s="2" t="s">
        <v>201</v>
      </c>
      <c r="E141" s="6">
        <f t="shared" si="10"/>
      </c>
      <c r="F141" s="6">
        <f t="shared" si="10"/>
      </c>
      <c r="G141" s="6">
        <f t="shared" si="10"/>
        <v>0.8485288541455186</v>
      </c>
      <c r="H141" s="6">
        <f t="shared" si="10"/>
      </c>
    </row>
    <row r="142" spans="1:8" ht="12" customHeight="1">
      <c r="A142" s="82"/>
      <c r="B142" s="4" t="s">
        <v>61</v>
      </c>
      <c r="C142" s="5" t="s">
        <v>130</v>
      </c>
      <c r="D142" s="2" t="s">
        <v>201</v>
      </c>
      <c r="E142" s="6">
        <f t="shared" si="10"/>
      </c>
      <c r="F142" s="6">
        <f t="shared" si="10"/>
      </c>
      <c r="G142" s="6">
        <f t="shared" si="10"/>
        <v>0.565685902763679</v>
      </c>
      <c r="H142" s="6">
        <f t="shared" si="10"/>
      </c>
    </row>
    <row r="143" spans="1:8" ht="12" customHeight="1">
      <c r="A143" s="83"/>
      <c r="B143" s="4" t="s">
        <v>62</v>
      </c>
      <c r="C143" s="5" t="s">
        <v>130</v>
      </c>
      <c r="D143" s="2" t="s">
        <v>201</v>
      </c>
      <c r="E143" s="6">
        <f t="shared" si="10"/>
      </c>
      <c r="F143" s="6">
        <f t="shared" si="10"/>
      </c>
      <c r="G143" s="6">
        <f t="shared" si="10"/>
        <v>0.4242644270727593</v>
      </c>
      <c r="H143" s="6">
        <f t="shared" si="10"/>
      </c>
    </row>
    <row r="144" spans="1:8" ht="12" customHeight="1">
      <c r="A144" s="81" t="s">
        <v>204</v>
      </c>
      <c r="B144" s="4">
        <v>20</v>
      </c>
      <c r="C144" s="5" t="s">
        <v>130</v>
      </c>
      <c r="D144" s="2" t="s">
        <v>201</v>
      </c>
      <c r="E144" s="6">
        <f aca="true" t="shared" si="11" ref="E144:H165">IF(E$24="","",2*3.14159*$B100*E$24*0.001)</f>
        <v>0.04242637103514004</v>
      </c>
      <c r="F144" s="6">
        <f t="shared" si="11"/>
      </c>
      <c r="G144" s="6">
        <f t="shared" si="11"/>
      </c>
      <c r="H144" s="6">
        <f t="shared" si="11"/>
      </c>
    </row>
    <row r="145" spans="1:8" ht="12" customHeight="1">
      <c r="A145" s="82"/>
      <c r="B145" s="4">
        <v>30</v>
      </c>
      <c r="C145" s="5" t="s">
        <v>130</v>
      </c>
      <c r="D145" s="2" t="s">
        <v>201</v>
      </c>
      <c r="E145" s="6">
        <f t="shared" si="11"/>
        <v>0.06363955655271006</v>
      </c>
      <c r="F145" s="6">
        <f t="shared" si="11"/>
      </c>
      <c r="G145" s="6">
        <f t="shared" si="11"/>
      </c>
      <c r="H145" s="6">
        <f t="shared" si="11"/>
      </c>
    </row>
    <row r="146" spans="1:8" ht="12" customHeight="1">
      <c r="A146" s="82"/>
      <c r="B146" s="4">
        <v>40</v>
      </c>
      <c r="C146" s="5" t="s">
        <v>130</v>
      </c>
      <c r="D146" s="2" t="s">
        <v>201</v>
      </c>
      <c r="E146" s="6">
        <f t="shared" si="11"/>
        <v>0.08485274207028008</v>
      </c>
      <c r="F146" s="6">
        <f t="shared" si="11"/>
      </c>
      <c r="G146" s="6">
        <f t="shared" si="11"/>
      </c>
      <c r="H146" s="6">
        <f t="shared" si="11"/>
      </c>
    </row>
    <row r="147" spans="1:8" ht="12" customHeight="1">
      <c r="A147" s="82"/>
      <c r="B147" s="4">
        <v>50</v>
      </c>
      <c r="C147" s="5" t="s">
        <v>130</v>
      </c>
      <c r="D147" s="2" t="s">
        <v>201</v>
      </c>
      <c r="E147" s="6">
        <f t="shared" si="11"/>
        <v>0.10606592758785012</v>
      </c>
      <c r="F147" s="6">
        <f t="shared" si="11"/>
      </c>
      <c r="G147" s="6">
        <f t="shared" si="11"/>
      </c>
      <c r="H147" s="6">
        <f t="shared" si="11"/>
      </c>
    </row>
    <row r="148" spans="1:8" ht="12" customHeight="1">
      <c r="A148" s="82"/>
      <c r="B148" s="4">
        <v>70</v>
      </c>
      <c r="C148" s="5" t="s">
        <v>130</v>
      </c>
      <c r="D148" s="2" t="s">
        <v>201</v>
      </c>
      <c r="E148" s="6">
        <f t="shared" si="11"/>
        <v>0.14849229862299015</v>
      </c>
      <c r="F148" s="6">
        <f t="shared" si="11"/>
      </c>
      <c r="G148" s="6">
        <f t="shared" si="11"/>
      </c>
      <c r="H148" s="6">
        <f t="shared" si="11"/>
      </c>
    </row>
    <row r="149" spans="1:8" ht="12" customHeight="1">
      <c r="A149" s="82"/>
      <c r="B149" s="4">
        <v>100</v>
      </c>
      <c r="C149" s="5" t="s">
        <v>130</v>
      </c>
      <c r="D149" s="2" t="s">
        <v>201</v>
      </c>
      <c r="E149" s="6">
        <f t="shared" si="11"/>
        <v>0.21213185517570024</v>
      </c>
      <c r="F149" s="6">
        <f t="shared" si="11"/>
      </c>
      <c r="G149" s="6">
        <f t="shared" si="11"/>
      </c>
      <c r="H149" s="6">
        <f t="shared" si="11"/>
      </c>
    </row>
    <row r="150" spans="1:8" ht="12" customHeight="1">
      <c r="A150" s="82"/>
      <c r="B150" s="4">
        <v>150</v>
      </c>
      <c r="C150" s="5" t="s">
        <v>130</v>
      </c>
      <c r="D150" s="2" t="s">
        <v>201</v>
      </c>
      <c r="E150" s="6">
        <f t="shared" si="11"/>
        <v>0.3181977827635503</v>
      </c>
      <c r="F150" s="6">
        <f t="shared" si="11"/>
      </c>
      <c r="G150" s="6">
        <f t="shared" si="11"/>
      </c>
      <c r="H150" s="6">
        <f t="shared" si="11"/>
      </c>
    </row>
    <row r="151" spans="1:8" ht="12" customHeight="1">
      <c r="A151" s="82"/>
      <c r="B151" s="4">
        <v>200</v>
      </c>
      <c r="C151" s="5" t="s">
        <v>130</v>
      </c>
      <c r="D151" s="2" t="s">
        <v>201</v>
      </c>
      <c r="E151" s="6">
        <f t="shared" si="11"/>
        <v>0.4242637103514005</v>
      </c>
      <c r="F151" s="6">
        <f t="shared" si="11"/>
      </c>
      <c r="G151" s="6">
        <f t="shared" si="11"/>
      </c>
      <c r="H151" s="6">
        <f t="shared" si="11"/>
      </c>
    </row>
    <row r="152" spans="1:8" ht="12" customHeight="1">
      <c r="A152" s="82"/>
      <c r="B152" s="4">
        <v>300</v>
      </c>
      <c r="C152" s="5" t="s">
        <v>130</v>
      </c>
      <c r="D152" s="2" t="s">
        <v>201</v>
      </c>
      <c r="E152" s="6">
        <f t="shared" si="11"/>
        <v>0.6363955655271006</v>
      </c>
      <c r="F152" s="6">
        <f t="shared" si="11"/>
      </c>
      <c r="G152" s="6">
        <f t="shared" si="11"/>
      </c>
      <c r="H152" s="6">
        <f t="shared" si="11"/>
      </c>
    </row>
    <row r="153" spans="1:8" ht="12" customHeight="1">
      <c r="A153" s="82"/>
      <c r="B153" s="4">
        <v>400</v>
      </c>
      <c r="C153" s="5" t="s">
        <v>130</v>
      </c>
      <c r="D153" s="2" t="s">
        <v>201</v>
      </c>
      <c r="E153" s="6">
        <f t="shared" si="11"/>
        <v>0.848527420702801</v>
      </c>
      <c r="F153" s="6">
        <f t="shared" si="11"/>
      </c>
      <c r="G153" s="6">
        <f t="shared" si="11"/>
      </c>
      <c r="H153" s="6">
        <f t="shared" si="11"/>
      </c>
    </row>
    <row r="154" spans="1:8" ht="12" customHeight="1">
      <c r="A154" s="82"/>
      <c r="B154" s="4">
        <v>500</v>
      </c>
      <c r="C154" s="5" t="s">
        <v>130</v>
      </c>
      <c r="D154" s="2" t="s">
        <v>201</v>
      </c>
      <c r="E154" s="6">
        <f t="shared" si="11"/>
        <v>1.060659275878501</v>
      </c>
      <c r="F154" s="6">
        <f t="shared" si="11"/>
      </c>
      <c r="G154" s="6">
        <f t="shared" si="11"/>
      </c>
      <c r="H154" s="6">
        <f t="shared" si="11"/>
      </c>
    </row>
    <row r="155" spans="1:8" ht="12" customHeight="1">
      <c r="A155" s="82"/>
      <c r="B155" s="4">
        <v>700</v>
      </c>
      <c r="C155" s="5" t="s">
        <v>130</v>
      </c>
      <c r="D155" s="2" t="s">
        <v>201</v>
      </c>
      <c r="E155" s="6">
        <f t="shared" si="11"/>
        <v>1.4849229862299014</v>
      </c>
      <c r="F155" s="6">
        <f t="shared" si="11"/>
      </c>
      <c r="G155" s="6">
        <f t="shared" si="11"/>
      </c>
      <c r="H155" s="6">
        <f t="shared" si="11"/>
      </c>
    </row>
    <row r="156" spans="1:8" ht="12" customHeight="1">
      <c r="A156" s="82"/>
      <c r="B156" s="4" t="s">
        <v>53</v>
      </c>
      <c r="C156" s="5" t="s">
        <v>130</v>
      </c>
      <c r="D156" s="2" t="s">
        <v>201</v>
      </c>
      <c r="E156" s="6">
        <f t="shared" si="11"/>
        <v>2.121318551757002</v>
      </c>
      <c r="F156" s="6">
        <f t="shared" si="11"/>
      </c>
      <c r="G156" s="6">
        <f t="shared" si="11"/>
      </c>
      <c r="H156" s="6">
        <f t="shared" si="11"/>
      </c>
    </row>
    <row r="157" spans="1:8" ht="12" customHeight="1">
      <c r="A157" s="82"/>
      <c r="B157" s="4" t="s">
        <v>54</v>
      </c>
      <c r="C157" s="5" t="s">
        <v>130</v>
      </c>
      <c r="D157" s="2" t="s">
        <v>201</v>
      </c>
      <c r="E157" s="6">
        <f t="shared" si="11"/>
        <v>3.181977827635503</v>
      </c>
      <c r="F157" s="6">
        <f t="shared" si="11"/>
      </c>
      <c r="G157" s="6">
        <f t="shared" si="11"/>
      </c>
      <c r="H157" s="6">
        <f t="shared" si="11"/>
      </c>
    </row>
    <row r="158" spans="1:8" ht="12" customHeight="1">
      <c r="A158" s="82"/>
      <c r="B158" s="4" t="s">
        <v>55</v>
      </c>
      <c r="C158" s="5" t="s">
        <v>130</v>
      </c>
      <c r="D158" s="2" t="s">
        <v>201</v>
      </c>
      <c r="E158" s="6">
        <f t="shared" si="11"/>
        <v>4.242637103514004</v>
      </c>
      <c r="F158" s="6">
        <f t="shared" si="11"/>
      </c>
      <c r="G158" s="6">
        <f t="shared" si="11"/>
      </c>
      <c r="H158" s="6">
        <f t="shared" si="11"/>
      </c>
    </row>
    <row r="159" spans="1:8" ht="12" customHeight="1">
      <c r="A159" s="82"/>
      <c r="B159" s="4" t="s">
        <v>56</v>
      </c>
      <c r="C159" s="5" t="s">
        <v>130</v>
      </c>
      <c r="D159" s="2" t="s">
        <v>201</v>
      </c>
      <c r="E159" s="6">
        <f t="shared" si="11"/>
        <v>6.363955655271006</v>
      </c>
      <c r="F159" s="6">
        <f t="shared" si="11"/>
      </c>
      <c r="G159" s="6">
        <f t="shared" si="11"/>
      </c>
      <c r="H159" s="6">
        <f t="shared" si="11"/>
      </c>
    </row>
    <row r="160" spans="1:8" ht="12" customHeight="1">
      <c r="A160" s="82"/>
      <c r="B160" s="4" t="s">
        <v>57</v>
      </c>
      <c r="C160" s="5" t="s">
        <v>130</v>
      </c>
      <c r="D160" s="2" t="s">
        <v>201</v>
      </c>
      <c r="E160" s="6">
        <f t="shared" si="11"/>
        <v>8.485274207028008</v>
      </c>
      <c r="F160" s="6">
        <f t="shared" si="11"/>
      </c>
      <c r="G160" s="6">
        <f t="shared" si="11"/>
      </c>
      <c r="H160" s="6">
        <f t="shared" si="11"/>
      </c>
    </row>
    <row r="161" spans="1:8" ht="12" customHeight="1">
      <c r="A161" s="82"/>
      <c r="B161" s="4" t="s">
        <v>58</v>
      </c>
      <c r="C161" s="5" t="s">
        <v>130</v>
      </c>
      <c r="D161" s="2" t="s">
        <v>201</v>
      </c>
      <c r="E161" s="6">
        <f t="shared" si="11"/>
        <v>10.60659275878501</v>
      </c>
      <c r="F161" s="6">
        <f t="shared" si="11"/>
      </c>
      <c r="G161" s="6">
        <f t="shared" si="11"/>
      </c>
      <c r="H161" s="6">
        <f t="shared" si="11"/>
      </c>
    </row>
    <row r="162" spans="1:8" ht="12" customHeight="1">
      <c r="A162" s="82"/>
      <c r="B162" s="4" t="s">
        <v>59</v>
      </c>
      <c r="C162" s="5" t="s">
        <v>130</v>
      </c>
      <c r="D162" s="2" t="s">
        <v>201</v>
      </c>
      <c r="E162" s="6">
        <f t="shared" si="11"/>
        <v>14.849229862299014</v>
      </c>
      <c r="F162" s="6">
        <f t="shared" si="11"/>
      </c>
      <c r="G162" s="6">
        <f t="shared" si="11"/>
      </c>
      <c r="H162" s="6">
        <f t="shared" si="11"/>
      </c>
    </row>
    <row r="163" spans="1:8" ht="12" customHeight="1">
      <c r="A163" s="82"/>
      <c r="B163" s="4" t="s">
        <v>60</v>
      </c>
      <c r="C163" s="5" t="s">
        <v>130</v>
      </c>
      <c r="D163" s="2" t="s">
        <v>201</v>
      </c>
      <c r="E163" s="6">
        <f t="shared" si="11"/>
        <v>21.21318551757002</v>
      </c>
      <c r="F163" s="6">
        <f t="shared" si="11"/>
      </c>
      <c r="G163" s="6">
        <f t="shared" si="11"/>
      </c>
      <c r="H163" s="6">
        <f t="shared" si="11"/>
      </c>
    </row>
    <row r="164" spans="1:8" ht="12" customHeight="1">
      <c r="A164" s="82"/>
      <c r="B164" s="4" t="s">
        <v>61</v>
      </c>
      <c r="C164" s="5" t="s">
        <v>130</v>
      </c>
      <c r="D164" s="2" t="s">
        <v>201</v>
      </c>
      <c r="E164" s="6">
        <f t="shared" si="11"/>
        <v>31.81977827635503</v>
      </c>
      <c r="F164" s="6">
        <f t="shared" si="11"/>
      </c>
      <c r="G164" s="6">
        <f t="shared" si="11"/>
      </c>
      <c r="H164" s="6">
        <f t="shared" si="11"/>
      </c>
    </row>
    <row r="165" spans="1:8" ht="12" customHeight="1">
      <c r="A165" s="83"/>
      <c r="B165" s="4" t="s">
        <v>62</v>
      </c>
      <c r="C165" s="5" t="s">
        <v>130</v>
      </c>
      <c r="D165" s="2" t="s">
        <v>201</v>
      </c>
      <c r="E165" s="6">
        <f t="shared" si="11"/>
        <v>42.42637103514004</v>
      </c>
      <c r="F165" s="6">
        <f t="shared" si="11"/>
      </c>
      <c r="G165" s="6">
        <f t="shared" si="11"/>
      </c>
      <c r="H165" s="6">
        <f t="shared" si="11"/>
      </c>
    </row>
    <row r="166" spans="1:8" ht="12" customHeight="1">
      <c r="A166" s="81" t="s">
        <v>205</v>
      </c>
      <c r="B166" s="4">
        <v>20</v>
      </c>
      <c r="C166" s="5" t="s">
        <v>130</v>
      </c>
      <c r="D166" s="2" t="s">
        <v>201</v>
      </c>
      <c r="E166" s="6">
        <f aca="true" t="shared" si="12" ref="E166:H187">IF(E$25="","",1/(2*3.14159*$B100*E$25/1000000))</f>
        <v>424.2644270727593</v>
      </c>
      <c r="F166" s="6">
        <f t="shared" si="12"/>
      </c>
      <c r="G166" s="6">
        <f t="shared" si="12"/>
      </c>
      <c r="H166" s="6">
        <f t="shared" si="12"/>
      </c>
    </row>
    <row r="167" spans="1:8" ht="12" customHeight="1">
      <c r="A167" s="82"/>
      <c r="B167" s="4">
        <v>30</v>
      </c>
      <c r="C167" s="5" t="s">
        <v>130</v>
      </c>
      <c r="D167" s="2" t="s">
        <v>201</v>
      </c>
      <c r="E167" s="6">
        <f t="shared" si="12"/>
        <v>282.8429513818395</v>
      </c>
      <c r="F167" s="6">
        <f t="shared" si="12"/>
      </c>
      <c r="G167" s="6">
        <f t="shared" si="12"/>
      </c>
      <c r="H167" s="6">
        <f t="shared" si="12"/>
      </c>
    </row>
    <row r="168" spans="1:8" ht="12" customHeight="1">
      <c r="A168" s="82"/>
      <c r="B168" s="4">
        <v>40</v>
      </c>
      <c r="C168" s="5" t="s">
        <v>130</v>
      </c>
      <c r="D168" s="2" t="s">
        <v>201</v>
      </c>
      <c r="E168" s="6">
        <f t="shared" si="12"/>
        <v>212.13221353637965</v>
      </c>
      <c r="F168" s="6">
        <f t="shared" si="12"/>
      </c>
      <c r="G168" s="6">
        <f t="shared" si="12"/>
      </c>
      <c r="H168" s="6">
        <f t="shared" si="12"/>
      </c>
    </row>
    <row r="169" spans="1:8" ht="12" customHeight="1">
      <c r="A169" s="82"/>
      <c r="B169" s="4">
        <v>50</v>
      </c>
      <c r="C169" s="5" t="s">
        <v>130</v>
      </c>
      <c r="D169" s="2" t="s">
        <v>201</v>
      </c>
      <c r="E169" s="6">
        <f t="shared" si="12"/>
        <v>169.70577082910373</v>
      </c>
      <c r="F169" s="6">
        <f t="shared" si="12"/>
      </c>
      <c r="G169" s="6">
        <f t="shared" si="12"/>
      </c>
      <c r="H169" s="6">
        <f t="shared" si="12"/>
      </c>
    </row>
    <row r="170" spans="1:8" ht="12" customHeight="1">
      <c r="A170" s="82"/>
      <c r="B170" s="4">
        <v>70</v>
      </c>
      <c r="C170" s="5" t="s">
        <v>130</v>
      </c>
      <c r="D170" s="2" t="s">
        <v>201</v>
      </c>
      <c r="E170" s="6">
        <f t="shared" si="12"/>
        <v>121.2184077350741</v>
      </c>
      <c r="F170" s="6">
        <f t="shared" si="12"/>
      </c>
      <c r="G170" s="6">
        <f t="shared" si="12"/>
      </c>
      <c r="H170" s="6">
        <f t="shared" si="12"/>
      </c>
    </row>
    <row r="171" spans="1:8" ht="12" customHeight="1">
      <c r="A171" s="82"/>
      <c r="B171" s="4">
        <v>100</v>
      </c>
      <c r="C171" s="5" t="s">
        <v>130</v>
      </c>
      <c r="D171" s="2" t="s">
        <v>201</v>
      </c>
      <c r="E171" s="6">
        <f t="shared" si="12"/>
        <v>84.85288541455186</v>
      </c>
      <c r="F171" s="6">
        <f t="shared" si="12"/>
      </c>
      <c r="G171" s="6">
        <f t="shared" si="12"/>
      </c>
      <c r="H171" s="6">
        <f t="shared" si="12"/>
      </c>
    </row>
    <row r="172" spans="1:8" ht="12" customHeight="1">
      <c r="A172" s="82"/>
      <c r="B172" s="4">
        <v>150</v>
      </c>
      <c r="C172" s="5" t="s">
        <v>130</v>
      </c>
      <c r="D172" s="2" t="s">
        <v>201</v>
      </c>
      <c r="E172" s="6">
        <f t="shared" si="12"/>
        <v>56.56859027636791</v>
      </c>
      <c r="F172" s="6">
        <f t="shared" si="12"/>
      </c>
      <c r="G172" s="6">
        <f t="shared" si="12"/>
      </c>
      <c r="H172" s="6">
        <f t="shared" si="12"/>
      </c>
    </row>
    <row r="173" spans="1:8" ht="12" customHeight="1">
      <c r="A173" s="82"/>
      <c r="B173" s="4">
        <v>200</v>
      </c>
      <c r="C173" s="5" t="s">
        <v>130</v>
      </c>
      <c r="D173" s="2" t="s">
        <v>201</v>
      </c>
      <c r="E173" s="6">
        <f t="shared" si="12"/>
        <v>42.42644270727593</v>
      </c>
      <c r="F173" s="6">
        <f t="shared" si="12"/>
      </c>
      <c r="G173" s="6">
        <f t="shared" si="12"/>
      </c>
      <c r="H173" s="6">
        <f t="shared" si="12"/>
      </c>
    </row>
    <row r="174" spans="1:8" ht="12" customHeight="1">
      <c r="A174" s="82"/>
      <c r="B174" s="4">
        <v>300</v>
      </c>
      <c r="C174" s="5" t="s">
        <v>130</v>
      </c>
      <c r="D174" s="2" t="s">
        <v>201</v>
      </c>
      <c r="E174" s="6">
        <f t="shared" si="12"/>
        <v>28.284295138183953</v>
      </c>
      <c r="F174" s="6">
        <f t="shared" si="12"/>
      </c>
      <c r="G174" s="6">
        <f t="shared" si="12"/>
      </c>
      <c r="H174" s="6">
        <f t="shared" si="12"/>
      </c>
    </row>
    <row r="175" spans="1:8" ht="12" customHeight="1">
      <c r="A175" s="82"/>
      <c r="B175" s="4">
        <v>400</v>
      </c>
      <c r="C175" s="5" t="s">
        <v>130</v>
      </c>
      <c r="D175" s="2" t="s">
        <v>201</v>
      </c>
      <c r="E175" s="6">
        <f t="shared" si="12"/>
        <v>21.213221353637966</v>
      </c>
      <c r="F175" s="6">
        <f t="shared" si="12"/>
      </c>
      <c r="G175" s="6">
        <f t="shared" si="12"/>
      </c>
      <c r="H175" s="6">
        <f t="shared" si="12"/>
      </c>
    </row>
    <row r="176" spans="1:8" ht="12" customHeight="1">
      <c r="A176" s="82"/>
      <c r="B176" s="4">
        <v>500</v>
      </c>
      <c r="C176" s="5" t="s">
        <v>130</v>
      </c>
      <c r="D176" s="2" t="s">
        <v>201</v>
      </c>
      <c r="E176" s="6">
        <f t="shared" si="12"/>
        <v>16.970577082910374</v>
      </c>
      <c r="F176" s="6">
        <f t="shared" si="12"/>
      </c>
      <c r="G176" s="6">
        <f t="shared" si="12"/>
      </c>
      <c r="H176" s="6">
        <f t="shared" si="12"/>
      </c>
    </row>
    <row r="177" spans="1:8" ht="12" customHeight="1">
      <c r="A177" s="82"/>
      <c r="B177" s="4">
        <v>700</v>
      </c>
      <c r="C177" s="5" t="s">
        <v>130</v>
      </c>
      <c r="D177" s="2" t="s">
        <v>201</v>
      </c>
      <c r="E177" s="6">
        <f t="shared" si="12"/>
        <v>12.12184077350741</v>
      </c>
      <c r="F177" s="6">
        <f t="shared" si="12"/>
      </c>
      <c r="G177" s="6">
        <f t="shared" si="12"/>
      </c>
      <c r="H177" s="6">
        <f t="shared" si="12"/>
      </c>
    </row>
    <row r="178" spans="1:8" ht="12" customHeight="1">
      <c r="A178" s="82"/>
      <c r="B178" s="4" t="s">
        <v>53</v>
      </c>
      <c r="C178" s="5" t="s">
        <v>130</v>
      </c>
      <c r="D178" s="2" t="s">
        <v>201</v>
      </c>
      <c r="E178" s="6">
        <f t="shared" si="12"/>
        <v>8.485288541455187</v>
      </c>
      <c r="F178" s="6">
        <f t="shared" si="12"/>
      </c>
      <c r="G178" s="6">
        <f t="shared" si="12"/>
      </c>
      <c r="H178" s="6">
        <f t="shared" si="12"/>
      </c>
    </row>
    <row r="179" spans="1:8" ht="12" customHeight="1">
      <c r="A179" s="82"/>
      <c r="B179" s="4" t="s">
        <v>54</v>
      </c>
      <c r="C179" s="5" t="s">
        <v>130</v>
      </c>
      <c r="D179" s="2" t="s">
        <v>201</v>
      </c>
      <c r="E179" s="6">
        <f t="shared" si="12"/>
        <v>5.65685902763679</v>
      </c>
      <c r="F179" s="6">
        <f t="shared" si="12"/>
      </c>
      <c r="G179" s="6">
        <f t="shared" si="12"/>
      </c>
      <c r="H179" s="6">
        <f t="shared" si="12"/>
      </c>
    </row>
    <row r="180" spans="1:8" ht="12" customHeight="1">
      <c r="A180" s="82"/>
      <c r="B180" s="4" t="s">
        <v>55</v>
      </c>
      <c r="C180" s="5" t="s">
        <v>130</v>
      </c>
      <c r="D180" s="2" t="s">
        <v>201</v>
      </c>
      <c r="E180" s="6">
        <f t="shared" si="12"/>
        <v>4.2426442707275935</v>
      </c>
      <c r="F180" s="6">
        <f t="shared" si="12"/>
      </c>
      <c r="G180" s="6">
        <f t="shared" si="12"/>
      </c>
      <c r="H180" s="6">
        <f t="shared" si="12"/>
      </c>
    </row>
    <row r="181" spans="1:8" ht="12" customHeight="1">
      <c r="A181" s="82"/>
      <c r="B181" s="4" t="s">
        <v>56</v>
      </c>
      <c r="C181" s="5" t="s">
        <v>130</v>
      </c>
      <c r="D181" s="2" t="s">
        <v>201</v>
      </c>
      <c r="E181" s="6">
        <f t="shared" si="12"/>
        <v>2.828429513818395</v>
      </c>
      <c r="F181" s="6">
        <f t="shared" si="12"/>
      </c>
      <c r="G181" s="6">
        <f t="shared" si="12"/>
      </c>
      <c r="H181" s="6">
        <f t="shared" si="12"/>
      </c>
    </row>
    <row r="182" spans="1:8" ht="12" customHeight="1">
      <c r="A182" s="82"/>
      <c r="B182" s="4" t="s">
        <v>57</v>
      </c>
      <c r="C182" s="5" t="s">
        <v>130</v>
      </c>
      <c r="D182" s="2" t="s">
        <v>201</v>
      </c>
      <c r="E182" s="6">
        <f t="shared" si="12"/>
        <v>2.1213221353637968</v>
      </c>
      <c r="F182" s="6">
        <f t="shared" si="12"/>
      </c>
      <c r="G182" s="6">
        <f t="shared" si="12"/>
      </c>
      <c r="H182" s="6">
        <f t="shared" si="12"/>
      </c>
    </row>
    <row r="183" spans="1:8" ht="12" customHeight="1">
      <c r="A183" s="82"/>
      <c r="B183" s="4" t="s">
        <v>58</v>
      </c>
      <c r="C183" s="5" t="s">
        <v>130</v>
      </c>
      <c r="D183" s="2" t="s">
        <v>201</v>
      </c>
      <c r="E183" s="6">
        <f t="shared" si="12"/>
        <v>1.6970577082910372</v>
      </c>
      <c r="F183" s="6">
        <f t="shared" si="12"/>
      </c>
      <c r="G183" s="6">
        <f t="shared" si="12"/>
      </c>
      <c r="H183" s="6">
        <f t="shared" si="12"/>
      </c>
    </row>
    <row r="184" spans="1:8" ht="12" customHeight="1">
      <c r="A184" s="82"/>
      <c r="B184" s="4" t="s">
        <v>59</v>
      </c>
      <c r="C184" s="5" t="s">
        <v>130</v>
      </c>
      <c r="D184" s="2" t="s">
        <v>201</v>
      </c>
      <c r="E184" s="6">
        <f t="shared" si="12"/>
        <v>1.2121840773507409</v>
      </c>
      <c r="F184" s="6">
        <f t="shared" si="12"/>
      </c>
      <c r="G184" s="6">
        <f t="shared" si="12"/>
      </c>
      <c r="H184" s="6">
        <f t="shared" si="12"/>
      </c>
    </row>
    <row r="185" spans="1:8" ht="12" customHeight="1">
      <c r="A185" s="82"/>
      <c r="B185" s="4" t="s">
        <v>60</v>
      </c>
      <c r="C185" s="5" t="s">
        <v>130</v>
      </c>
      <c r="D185" s="2" t="s">
        <v>201</v>
      </c>
      <c r="E185" s="6">
        <f t="shared" si="12"/>
        <v>0.8485288541455186</v>
      </c>
      <c r="F185" s="6">
        <f t="shared" si="12"/>
      </c>
      <c r="G185" s="6">
        <f t="shared" si="12"/>
      </c>
      <c r="H185" s="6">
        <f t="shared" si="12"/>
      </c>
    </row>
    <row r="186" spans="1:8" ht="12" customHeight="1">
      <c r="A186" s="82"/>
      <c r="B186" s="4" t="s">
        <v>61</v>
      </c>
      <c r="C186" s="5" t="s">
        <v>130</v>
      </c>
      <c r="D186" s="2" t="s">
        <v>201</v>
      </c>
      <c r="E186" s="6">
        <f t="shared" si="12"/>
        <v>0.565685902763679</v>
      </c>
      <c r="F186" s="6">
        <f t="shared" si="12"/>
      </c>
      <c r="G186" s="6">
        <f t="shared" si="12"/>
      </c>
      <c r="H186" s="6">
        <f t="shared" si="12"/>
      </c>
    </row>
    <row r="187" spans="1:8" ht="12" customHeight="1">
      <c r="A187" s="83"/>
      <c r="B187" s="4" t="s">
        <v>62</v>
      </c>
      <c r="C187" s="5" t="s">
        <v>130</v>
      </c>
      <c r="D187" s="2" t="s">
        <v>201</v>
      </c>
      <c r="E187" s="6">
        <f t="shared" si="12"/>
        <v>0.4242644270727593</v>
      </c>
      <c r="F187" s="6">
        <f t="shared" si="12"/>
      </c>
      <c r="G187" s="6">
        <f t="shared" si="12"/>
      </c>
      <c r="H187" s="6">
        <f t="shared" si="12"/>
      </c>
    </row>
  </sheetData>
  <sheetProtection password="BF23" sheet="1" objects="1" scenarios="1"/>
  <mergeCells count="14">
    <mergeCell ref="A24:A25"/>
    <mergeCell ref="A1:F1"/>
    <mergeCell ref="B16:C16"/>
    <mergeCell ref="A144:A165"/>
    <mergeCell ref="A22:A23"/>
    <mergeCell ref="B19:D19"/>
    <mergeCell ref="B28:D28"/>
    <mergeCell ref="A166:A187"/>
    <mergeCell ref="A26:A33"/>
    <mergeCell ref="A56:A77"/>
    <mergeCell ref="A34:A55"/>
    <mergeCell ref="A100:A121"/>
    <mergeCell ref="A122:A143"/>
    <mergeCell ref="A78:A99"/>
  </mergeCells>
  <conditionalFormatting sqref="E19:H19">
    <cfRule type="cellIs" priority="1" dxfId="0" operator="notBetween" stopIfTrue="1">
      <formula>0</formula>
      <formula>1</formula>
    </cfRule>
  </conditionalFormatting>
  <conditionalFormatting sqref="E28:H28">
    <cfRule type="cellIs" priority="2" dxfId="0" operator="notBetween" stopIfTrue="1">
      <formula>0</formula>
      <formula>2</formula>
    </cfRule>
  </conditionalFormatting>
  <printOptions horizontalCentered="1"/>
  <pageMargins left="0.7874015748031497" right="0.3937007874015748" top="0.7874015748031497" bottom="0.3937007874015748" header="0.2755905511811024" footer="0.31496062992125984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87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19.375" style="0" customWidth="1"/>
    <col min="2" max="2" width="14.125" style="0" customWidth="1"/>
    <col min="3" max="4" width="5.875" style="0" customWidth="1"/>
    <col min="5" max="16" width="11.125" style="0" customWidth="1"/>
  </cols>
  <sheetData>
    <row r="1" spans="1:9" ht="15" customHeight="1">
      <c r="A1" s="103" t="s">
        <v>209</v>
      </c>
      <c r="B1" s="104"/>
      <c r="C1" s="104"/>
      <c r="D1" s="104"/>
      <c r="E1" s="104"/>
      <c r="F1" s="105"/>
      <c r="G1" s="34" t="s">
        <v>150</v>
      </c>
      <c r="H1" s="35" t="s">
        <v>149</v>
      </c>
      <c r="I1" s="65" t="s">
        <v>135</v>
      </c>
    </row>
    <row r="2" spans="1:16" ht="15" customHeight="1">
      <c r="A2" s="24"/>
      <c r="B2" s="25"/>
      <c r="C2" s="25"/>
      <c r="D2" s="25"/>
      <c r="E2" s="25"/>
      <c r="F2" s="25"/>
      <c r="G2" s="25"/>
      <c r="H2" s="26"/>
      <c r="I2" s="66" t="s">
        <v>199</v>
      </c>
      <c r="J2" s="1"/>
      <c r="K2" s="1"/>
      <c r="L2" s="1"/>
      <c r="M2" s="1"/>
      <c r="N2" s="1"/>
      <c r="O2" s="1"/>
      <c r="P2" s="1"/>
    </row>
    <row r="3" spans="1:16" ht="15" customHeight="1">
      <c r="A3" s="27"/>
      <c r="B3" s="28"/>
      <c r="C3" s="28"/>
      <c r="D3" s="28"/>
      <c r="E3" s="28"/>
      <c r="F3" s="28"/>
      <c r="G3" s="28"/>
      <c r="H3" s="29"/>
      <c r="I3" s="1" t="s">
        <v>195</v>
      </c>
      <c r="J3" s="1"/>
      <c r="K3" s="1"/>
      <c r="L3" s="1"/>
      <c r="M3" s="1"/>
      <c r="N3" s="1"/>
      <c r="O3" s="1"/>
      <c r="P3" s="1"/>
    </row>
    <row r="4" spans="1:16" ht="15" customHeight="1">
      <c r="A4" s="27"/>
      <c r="B4" s="28"/>
      <c r="C4" s="28"/>
      <c r="D4" s="28"/>
      <c r="E4" s="28"/>
      <c r="F4" s="28"/>
      <c r="G4" s="28"/>
      <c r="H4" s="29"/>
      <c r="I4" s="1" t="s">
        <v>196</v>
      </c>
      <c r="J4" s="1"/>
      <c r="K4" s="1"/>
      <c r="L4" s="1"/>
      <c r="M4" s="1"/>
      <c r="N4" s="1"/>
      <c r="O4" s="1"/>
      <c r="P4" s="1"/>
    </row>
    <row r="5" spans="1:16" ht="15" customHeight="1">
      <c r="A5" s="27"/>
      <c r="B5" s="28"/>
      <c r="C5" s="28"/>
      <c r="D5" s="28"/>
      <c r="E5" s="28"/>
      <c r="F5" s="28"/>
      <c r="G5" s="28"/>
      <c r="H5" s="29"/>
      <c r="I5" s="1" t="s">
        <v>197</v>
      </c>
      <c r="J5" s="1"/>
      <c r="K5" s="1"/>
      <c r="L5" s="1"/>
      <c r="M5" s="1"/>
      <c r="N5" s="1"/>
      <c r="O5" s="1"/>
      <c r="P5" s="1"/>
    </row>
    <row r="6" spans="1:16" ht="15" customHeight="1">
      <c r="A6" s="27"/>
      <c r="B6" s="28"/>
      <c r="C6" s="28"/>
      <c r="D6" s="28"/>
      <c r="E6" s="28"/>
      <c r="F6" s="28"/>
      <c r="G6" s="28"/>
      <c r="H6" s="29"/>
      <c r="I6" s="1" t="s">
        <v>198</v>
      </c>
      <c r="J6" s="1"/>
      <c r="K6" s="1"/>
      <c r="L6" s="1"/>
      <c r="M6" s="1"/>
      <c r="N6" s="1"/>
      <c r="O6" s="1"/>
      <c r="P6" s="1"/>
    </row>
    <row r="7" spans="1:16" ht="15" customHeight="1">
      <c r="A7" s="27"/>
      <c r="B7" s="28"/>
      <c r="C7" s="28"/>
      <c r="D7" s="28"/>
      <c r="E7" s="28"/>
      <c r="F7" s="28"/>
      <c r="G7" s="28"/>
      <c r="H7" s="29"/>
      <c r="I7" s="140" t="s">
        <v>226</v>
      </c>
      <c r="J7" s="1"/>
      <c r="K7" s="1"/>
      <c r="L7" s="1"/>
      <c r="M7" s="1"/>
      <c r="N7" s="1"/>
      <c r="O7" s="1"/>
      <c r="P7" s="1"/>
    </row>
    <row r="8" spans="1:16" ht="15" customHeight="1">
      <c r="A8" s="27"/>
      <c r="B8" s="28"/>
      <c r="C8" s="28"/>
      <c r="D8" s="28"/>
      <c r="E8" s="28"/>
      <c r="F8" s="28"/>
      <c r="G8" s="28"/>
      <c r="H8" s="29"/>
      <c r="I8" s="139" t="s">
        <v>227</v>
      </c>
      <c r="J8" s="1"/>
      <c r="K8" s="1"/>
      <c r="L8" s="1"/>
      <c r="M8" s="1"/>
      <c r="N8" s="1"/>
      <c r="O8" s="1"/>
      <c r="P8" s="1"/>
    </row>
    <row r="9" spans="1:16" ht="15" customHeight="1">
      <c r="A9" s="27"/>
      <c r="B9" s="28"/>
      <c r="C9" s="28"/>
      <c r="D9" s="28"/>
      <c r="E9" s="28"/>
      <c r="F9" s="28"/>
      <c r="G9" s="28"/>
      <c r="H9" s="29"/>
      <c r="I9" s="139" t="s">
        <v>228</v>
      </c>
      <c r="J9" s="1"/>
      <c r="K9" s="1"/>
      <c r="L9" s="1"/>
      <c r="M9" s="1"/>
      <c r="N9" s="1"/>
      <c r="O9" s="1"/>
      <c r="P9" s="1"/>
    </row>
    <row r="10" spans="1:16" ht="15" customHeight="1">
      <c r="A10" s="27"/>
      <c r="B10" s="28"/>
      <c r="C10" s="28"/>
      <c r="D10" s="28"/>
      <c r="E10" s="28"/>
      <c r="F10" s="28"/>
      <c r="G10" s="28"/>
      <c r="H10" s="29"/>
      <c r="I10" s="139" t="s">
        <v>229</v>
      </c>
      <c r="J10" s="1"/>
      <c r="K10" s="1"/>
      <c r="L10" s="1"/>
      <c r="M10" s="1"/>
      <c r="N10" s="1"/>
      <c r="O10" s="1"/>
      <c r="P10" s="1"/>
    </row>
    <row r="11" spans="1:16" ht="15" customHeight="1">
      <c r="A11" s="27"/>
      <c r="B11" s="28"/>
      <c r="C11" s="28"/>
      <c r="D11" s="28"/>
      <c r="E11" s="28"/>
      <c r="F11" s="28"/>
      <c r="G11" s="28"/>
      <c r="H11" s="29"/>
      <c r="I11" s="139" t="s">
        <v>230</v>
      </c>
      <c r="J11" s="1"/>
      <c r="K11" s="1"/>
      <c r="L11" s="1"/>
      <c r="M11" s="1"/>
      <c r="N11" s="1"/>
      <c r="O11" s="1"/>
      <c r="P11" s="1"/>
    </row>
    <row r="12" spans="1:16" ht="15" customHeight="1">
      <c r="A12" s="27"/>
      <c r="B12" s="28"/>
      <c r="C12" s="28"/>
      <c r="D12" s="28"/>
      <c r="E12" s="28"/>
      <c r="F12" s="28"/>
      <c r="G12" s="28"/>
      <c r="H12" s="29"/>
      <c r="I12" s="139" t="s">
        <v>231</v>
      </c>
      <c r="J12" s="1"/>
      <c r="K12" s="1"/>
      <c r="L12" s="1"/>
      <c r="M12" s="1"/>
      <c r="N12" s="1"/>
      <c r="O12" s="1"/>
      <c r="P12" s="1"/>
    </row>
    <row r="13" spans="1:16" ht="15" customHeight="1">
      <c r="A13" s="27"/>
      <c r="B13" s="28"/>
      <c r="C13" s="28"/>
      <c r="D13" s="28"/>
      <c r="E13" s="28"/>
      <c r="F13" s="28"/>
      <c r="G13" s="28"/>
      <c r="H13" s="29"/>
      <c r="I13" s="138" t="s">
        <v>232</v>
      </c>
      <c r="J13" s="1"/>
      <c r="K13" s="1"/>
      <c r="L13" s="1"/>
      <c r="M13" s="1"/>
      <c r="N13" s="1"/>
      <c r="O13" s="1"/>
      <c r="P13" s="1"/>
    </row>
    <row r="14" spans="1:16" ht="15" customHeight="1">
      <c r="A14" s="27"/>
      <c r="B14" s="28"/>
      <c r="C14" s="28"/>
      <c r="D14" s="28"/>
      <c r="E14" s="28"/>
      <c r="F14" s="28"/>
      <c r="G14" s="28"/>
      <c r="H14" s="29"/>
      <c r="I14" s="139" t="s">
        <v>233</v>
      </c>
      <c r="J14" s="1"/>
      <c r="K14" s="1"/>
      <c r="L14" s="1"/>
      <c r="M14" s="1"/>
      <c r="N14" s="1"/>
      <c r="O14" s="1"/>
      <c r="P14" s="1"/>
    </row>
    <row r="15" spans="1:16" ht="15" customHeight="1">
      <c r="A15" s="27"/>
      <c r="B15" s="28"/>
      <c r="C15" s="28"/>
      <c r="D15" s="28"/>
      <c r="E15" s="28"/>
      <c r="F15" s="28"/>
      <c r="G15" s="28"/>
      <c r="H15" s="29"/>
      <c r="I15" s="1"/>
      <c r="J15" s="1"/>
      <c r="K15" s="1"/>
      <c r="L15" s="1"/>
      <c r="M15" s="1"/>
      <c r="N15" s="1"/>
      <c r="O15" s="1"/>
      <c r="P15" s="1"/>
    </row>
    <row r="16" spans="1:16" ht="12" customHeight="1">
      <c r="A16" s="33" t="s">
        <v>95</v>
      </c>
      <c r="B16" s="91" t="s">
        <v>103</v>
      </c>
      <c r="C16" s="92"/>
      <c r="D16" s="33" t="s">
        <v>111</v>
      </c>
      <c r="E16" s="2" t="s">
        <v>148</v>
      </c>
      <c r="F16" s="2" t="s">
        <v>151</v>
      </c>
      <c r="G16" s="2" t="s">
        <v>155</v>
      </c>
      <c r="H16" s="37" t="s">
        <v>179</v>
      </c>
      <c r="I16" s="1"/>
      <c r="J16" s="1"/>
      <c r="K16" s="1"/>
      <c r="L16" s="1"/>
      <c r="M16" s="1"/>
      <c r="N16" s="1"/>
      <c r="O16" s="1"/>
      <c r="P16" s="1"/>
    </row>
    <row r="17" spans="1:16" ht="12" customHeight="1">
      <c r="A17" s="13" t="s">
        <v>181</v>
      </c>
      <c r="B17" s="16" t="s">
        <v>182</v>
      </c>
      <c r="C17" s="17" t="s">
        <v>189</v>
      </c>
      <c r="D17" s="2" t="s">
        <v>13</v>
      </c>
      <c r="E17" s="19">
        <v>6</v>
      </c>
      <c r="F17" s="19">
        <v>6</v>
      </c>
      <c r="G17" s="19">
        <v>6</v>
      </c>
      <c r="H17" s="19">
        <v>6</v>
      </c>
      <c r="I17" s="1"/>
      <c r="J17" s="1"/>
      <c r="K17" s="1"/>
      <c r="L17" s="1"/>
      <c r="M17" s="1"/>
      <c r="N17" s="1"/>
      <c r="O17" s="1"/>
      <c r="P17" s="1"/>
    </row>
    <row r="18" spans="1:16" ht="12" customHeight="1">
      <c r="A18" s="12" t="s">
        <v>183</v>
      </c>
      <c r="B18" s="16" t="s">
        <v>182</v>
      </c>
      <c r="C18" s="13" t="s">
        <v>190</v>
      </c>
      <c r="D18" s="2" t="s">
        <v>14</v>
      </c>
      <c r="E18" s="47">
        <v>91</v>
      </c>
      <c r="F18" s="47">
        <v>91</v>
      </c>
      <c r="G18" s="47">
        <v>91</v>
      </c>
      <c r="H18" s="47">
        <v>91</v>
      </c>
      <c r="I18" s="1"/>
      <c r="J18" s="1"/>
      <c r="K18" s="1"/>
      <c r="L18" s="1"/>
      <c r="M18" s="1"/>
      <c r="N18" s="1"/>
      <c r="O18" s="1"/>
      <c r="P18" s="1"/>
    </row>
    <row r="19" spans="1:16" ht="12" customHeight="1">
      <c r="A19" s="12" t="s">
        <v>188</v>
      </c>
      <c r="B19" s="106" t="s">
        <v>187</v>
      </c>
      <c r="C19" s="107"/>
      <c r="D19" s="101"/>
      <c r="E19" s="9"/>
      <c r="F19" s="9"/>
      <c r="G19" s="9"/>
      <c r="H19" s="9"/>
      <c r="I19" s="1"/>
      <c r="J19" s="1"/>
      <c r="K19" s="1"/>
      <c r="L19" s="1"/>
      <c r="M19" s="1"/>
      <c r="N19" s="1"/>
      <c r="O19" s="1"/>
      <c r="P19" s="1"/>
    </row>
    <row r="20" spans="1:16" ht="12" customHeight="1">
      <c r="A20" s="13" t="s">
        <v>184</v>
      </c>
      <c r="B20" s="64" t="s">
        <v>186</v>
      </c>
      <c r="C20" s="13" t="s">
        <v>78</v>
      </c>
      <c r="D20" s="2" t="s">
        <v>20</v>
      </c>
      <c r="E20" s="63">
        <f>IF(OR(AND(F20&lt;&gt;0,F21&lt;&gt;0,F20&gt;=F21),AND(G20&lt;&gt;0,G21&lt;&gt;0,G20&gt;=G21)),"周波数不適","")</f>
      </c>
      <c r="F20" s="9"/>
      <c r="G20" s="9">
        <v>2000</v>
      </c>
      <c r="H20" s="9"/>
      <c r="I20" s="1"/>
      <c r="J20" s="1"/>
      <c r="K20" s="1"/>
      <c r="L20" s="1"/>
      <c r="M20" s="1"/>
      <c r="N20" s="1"/>
      <c r="O20" s="1"/>
      <c r="P20" s="1"/>
    </row>
    <row r="21" spans="1:16" ht="12" customHeight="1">
      <c r="A21" s="13" t="s">
        <v>185</v>
      </c>
      <c r="B21" s="64" t="s">
        <v>186</v>
      </c>
      <c r="C21" s="13" t="s">
        <v>79</v>
      </c>
      <c r="D21" s="2" t="s">
        <v>63</v>
      </c>
      <c r="E21" s="9">
        <v>2000</v>
      </c>
      <c r="F21" s="9"/>
      <c r="G21" s="9"/>
      <c r="H21" s="38"/>
      <c r="I21" s="1"/>
      <c r="J21" s="1"/>
      <c r="K21" s="1"/>
      <c r="L21" s="1"/>
      <c r="M21" s="1"/>
      <c r="N21" s="1"/>
      <c r="O21" s="1"/>
      <c r="P21" s="1"/>
    </row>
    <row r="22" spans="1:16" ht="12" customHeight="1">
      <c r="A22" s="93" t="s">
        <v>191</v>
      </c>
      <c r="B22" s="12" t="s">
        <v>101</v>
      </c>
      <c r="C22" s="13" t="s">
        <v>88</v>
      </c>
      <c r="D22" s="2" t="s">
        <v>131</v>
      </c>
      <c r="E22" s="38"/>
      <c r="F22" s="3">
        <f>IF(F$20="","",F$17*10^3/(2^0.5*PI()*F20))</f>
      </c>
      <c r="G22" s="3">
        <f>IF(G$20="","",G$17*10^3/(2^0.5*PI()*G20))</f>
        <v>0.6752372371178296</v>
      </c>
      <c r="H22" s="3">
        <f>IF(H$20="","",H$17*10^3/(2^0.5*PI()*H20))</f>
      </c>
      <c r="I22" s="1"/>
      <c r="J22" s="1"/>
      <c r="K22" s="1"/>
      <c r="L22" s="1"/>
      <c r="M22" s="1"/>
      <c r="N22" s="1"/>
      <c r="O22" s="1"/>
      <c r="P22" s="1"/>
    </row>
    <row r="23" spans="1:16" ht="12" customHeight="1">
      <c r="A23" s="94"/>
      <c r="B23" s="12" t="s">
        <v>102</v>
      </c>
      <c r="C23" s="13" t="s">
        <v>89</v>
      </c>
      <c r="D23" s="67" t="s">
        <v>132</v>
      </c>
      <c r="E23" s="38"/>
      <c r="F23" s="3">
        <f>IF(F$20="","",10^6/(2^1.5*PI()*F20*F$17))</f>
      </c>
      <c r="G23" s="3">
        <f>IF(G$20="","",10^6/(2^1.5*PI()*G20*G$17))</f>
        <v>9.378294959969855</v>
      </c>
      <c r="H23" s="3">
        <f>IF(H$20="","",10^6/(2^1.5*PI()*H20*H$17))</f>
      </c>
      <c r="I23" s="1"/>
      <c r="J23" s="1"/>
      <c r="K23" s="1"/>
      <c r="L23" s="1"/>
      <c r="M23" s="1"/>
      <c r="N23" s="1"/>
      <c r="O23" s="1"/>
      <c r="P23" s="1"/>
    </row>
    <row r="24" spans="1:16" ht="12" customHeight="1">
      <c r="A24" s="93" t="s">
        <v>192</v>
      </c>
      <c r="B24" s="12" t="s">
        <v>101</v>
      </c>
      <c r="C24" s="13" t="s">
        <v>90</v>
      </c>
      <c r="D24" s="2" t="s">
        <v>131</v>
      </c>
      <c r="E24" s="3">
        <f>IF(E$21="","",E$17*10^3/(2^0.5*PI()*E21))</f>
        <v>0.6752372371178296</v>
      </c>
      <c r="F24" s="3">
        <f>IF(F$21="","",F$17*10^3/(2^0.5*PI()*F21))</f>
      </c>
      <c r="G24" s="3">
        <f>IF(G$21="","",G$17*10^3/(2^0.5*PI()*G21))</f>
      </c>
      <c r="H24" s="38"/>
      <c r="I24" s="1"/>
      <c r="J24" s="1"/>
      <c r="K24" s="1"/>
      <c r="L24" s="1"/>
      <c r="M24" s="1"/>
      <c r="N24" s="1"/>
      <c r="O24" s="1"/>
      <c r="P24" s="1"/>
    </row>
    <row r="25" spans="1:16" ht="12" customHeight="1">
      <c r="A25" s="94"/>
      <c r="B25" s="12" t="s">
        <v>102</v>
      </c>
      <c r="C25" s="13" t="s">
        <v>91</v>
      </c>
      <c r="D25" s="67" t="s">
        <v>132</v>
      </c>
      <c r="E25" s="3">
        <f>IF(E$21="","",10^6/(2^1.5*PI()*E21*E$17))</f>
        <v>9.378294959969855</v>
      </c>
      <c r="F25" s="3">
        <f>IF(F$21="","",10^6/(2^1.5*PI()*F21*F$17))</f>
      </c>
      <c r="G25" s="3">
        <f>IF(G$21="","",10^6/(2^1.5*PI()*G21*G$17))</f>
      </c>
      <c r="H25" s="38"/>
      <c r="I25" s="1"/>
      <c r="J25" s="1"/>
      <c r="K25" s="1"/>
      <c r="L25" s="1"/>
      <c r="M25" s="1"/>
      <c r="N25" s="1"/>
      <c r="O25" s="1"/>
      <c r="P25" s="1"/>
    </row>
    <row r="26" spans="1:16" ht="12" customHeight="1">
      <c r="A26" s="95" t="s">
        <v>98</v>
      </c>
      <c r="B26" s="12" t="s">
        <v>107</v>
      </c>
      <c r="C26" s="13" t="s">
        <v>193</v>
      </c>
      <c r="D26" s="2" t="s">
        <v>127</v>
      </c>
      <c r="E26" s="19">
        <v>6</v>
      </c>
      <c r="F26" s="19">
        <v>6</v>
      </c>
      <c r="G26" s="19">
        <v>6</v>
      </c>
      <c r="H26" s="19">
        <v>6</v>
      </c>
      <c r="I26" s="1"/>
      <c r="J26" s="1"/>
      <c r="K26" s="1"/>
      <c r="L26" s="1"/>
      <c r="M26" s="1"/>
      <c r="N26" s="1"/>
      <c r="O26" s="1"/>
      <c r="P26" s="1"/>
    </row>
    <row r="27" spans="1:16" ht="12" customHeight="1">
      <c r="A27" s="96"/>
      <c r="B27" s="12" t="s">
        <v>104</v>
      </c>
      <c r="C27" s="13" t="s">
        <v>194</v>
      </c>
      <c r="D27" s="2" t="s">
        <v>11</v>
      </c>
      <c r="E27" s="47">
        <v>91</v>
      </c>
      <c r="F27" s="47">
        <v>91</v>
      </c>
      <c r="G27" s="47">
        <v>105</v>
      </c>
      <c r="H27" s="47">
        <v>91</v>
      </c>
      <c r="I27" s="1"/>
      <c r="J27" s="1"/>
      <c r="K27" s="1"/>
      <c r="L27" s="1"/>
      <c r="M27" s="1"/>
      <c r="N27" s="1"/>
      <c r="O27" s="1"/>
      <c r="P27" s="1"/>
    </row>
    <row r="28" spans="1:16" ht="12" customHeight="1">
      <c r="A28" s="96"/>
      <c r="B28" s="106" t="s">
        <v>200</v>
      </c>
      <c r="C28" s="107"/>
      <c r="D28" s="101"/>
      <c r="E28" s="9"/>
      <c r="F28" s="9"/>
      <c r="G28" s="9">
        <v>1</v>
      </c>
      <c r="H28" s="9"/>
      <c r="I28" s="1"/>
      <c r="J28" s="1"/>
      <c r="K28" s="1"/>
      <c r="L28" s="1"/>
      <c r="M28" s="1"/>
      <c r="N28" s="1"/>
      <c r="O28" s="1"/>
      <c r="P28" s="1"/>
    </row>
    <row r="29" spans="1:16" ht="12" customHeight="1">
      <c r="A29" s="96"/>
      <c r="B29" s="12" t="s">
        <v>106</v>
      </c>
      <c r="C29" s="13" t="s">
        <v>153</v>
      </c>
      <c r="D29" s="2" t="s">
        <v>134</v>
      </c>
      <c r="E29" s="14">
        <f>IF(E$17*E$18*E$26*E$27=0,"",IF(E$28=0,"",IF(E$18&gt;E$27+10*LOG(E$17/E$26),"Unable",IF(E$26/(10^((E$18-E$27-10*LOG(E$17/E$26))/20))-E$17=0,"Blank",IF(E$28=2,IF(E$17&gt;=E$26,"Blank",E$17*E$26/ABS(E$26-E$17)),E$17*E$26/ABS(E$26/(10^((E$18-E$27-10*LOG(E$17/E$26))/20))-E$17))))))</f>
      </c>
      <c r="F29" s="14">
        <f>IF(F$17*F$18*F$26*F$27=0,"",IF(F$28=0,"",IF(F$18&gt;F$27+10*LOG(F$17/F$26),"Unable",IF(F$26/(10^((F$18-F$27-10*LOG(F$17/F$26))/20))-F$17=0,"Blank",IF(F$28=2,IF(F$17&gt;=F$26,"Blank",F$17*F$26/ABS(F$26-F$17)),F$17*F$26/ABS(F$26/(10^((F$18-F$27-10*LOG(F$17/F$26))/20))-F$17))))))</f>
      </c>
      <c r="G29" s="14">
        <f>IF(G$17*G$18*G$26*G$27=0,"",IF(G$28=0,"",IF(G$18&gt;G$27+10*LOG(G$17/G$26),"Unable",IF(G$26/(10^((G$18-G$27-10*LOG(G$17/G$26))/20))-G$17=0,"Blank",IF(G$28=2,IF(G$17&gt;=G$26,"Blank",G$17*G$26/ABS(G$26-G$17)),G$17*G$26/ABS(G$26/(10^((G$18-G$27-10*LOG(G$17/G$26))/20))-G$17))))))</f>
        <v>1.4955610490772422</v>
      </c>
      <c r="H29" s="14">
        <f>IF(H$17*H$18*H$26*H$27=0,"",IF(H$28=0,"",IF(H$18&gt;H$27+10*LOG(H$17/H$26),"Unable",IF(H$26/(10^((H$18-H$27-10*LOG(H$17/H$26))/20))-H$17=0,"Blank",IF(H$28=2,IF(H$17&gt;=H$26,"Blank",H$17*H$26/ABS(H$26-H$17)),H$17*H$26/ABS(H$26/(10^((H$18-H$27-10*LOG(H$17/H$26))/20))-H$17))))))</f>
      </c>
      <c r="I29" s="1"/>
      <c r="J29" s="1"/>
      <c r="K29" s="1"/>
      <c r="L29" s="1"/>
      <c r="M29" s="1"/>
      <c r="N29" s="1"/>
      <c r="O29" s="1"/>
      <c r="P29" s="1"/>
    </row>
    <row r="30" spans="1:16" ht="12" customHeight="1">
      <c r="A30" s="96"/>
      <c r="B30" s="12" t="s">
        <v>108</v>
      </c>
      <c r="C30" s="13" t="s">
        <v>154</v>
      </c>
      <c r="D30" s="2" t="s">
        <v>134</v>
      </c>
      <c r="E30" s="14">
        <f>IF(E$17*E$18*E$26*E$27=0,"",IF(E$28=0,"",IF(E$27+E$33&lt;E$18,"Unable",IF(E$29="Unable","Unable",IF(E$29="Blank",E$17-E$26,E$17-E$29*E$26/(E$29+E$26))))))</f>
      </c>
      <c r="F30" s="14">
        <f>IF(F$17*F$18*F$26*F$27=0,"",IF(F$28=0,"",IF(F$27+F$33&lt;F$18,"Unable",IF(F$29="Unable","Unable",IF(F$29="Blank",F$17-F$26,F$17-F$29*F$26/(F$29+F$26))))))</f>
      </c>
      <c r="G30" s="14">
        <f>IF(G$17*G$18*G$26*G$27=0,"",IF(G$28=0,"",IF(G$27+G$33&lt;G$18,"Unable",IF(G$29="Unable","Unable",IF(G$29="Blank",G$17-G$26,G$17-G$29*G$26/(G$29+G$26))))))</f>
        <v>4.802842611018672</v>
      </c>
      <c r="H30" s="14">
        <f>IF(H$17*H$18*H$26*H$27=0,"",IF(H$28=0,"",IF(H$27+H$33&lt;H$18,"Unable",IF(H$29="Unable","Unable",IF(H$29="Blank",H$17-H$26,H$17-H$29*H$26/(H$29+H$26))))))</f>
      </c>
      <c r="I30" s="1"/>
      <c r="J30" s="1"/>
      <c r="K30" s="1"/>
      <c r="L30" s="1"/>
      <c r="M30" s="1"/>
      <c r="N30" s="1"/>
      <c r="O30" s="1"/>
      <c r="P30" s="1"/>
    </row>
    <row r="31" spans="1:16" ht="12" customHeight="1">
      <c r="A31" s="96"/>
      <c r="B31" s="12" t="s">
        <v>109</v>
      </c>
      <c r="C31" s="22" t="s">
        <v>76</v>
      </c>
      <c r="D31" s="2" t="s">
        <v>134</v>
      </c>
      <c r="E31" s="23">
        <f>IF(E$17*E$18*E$26*E$27=0,"",IF(OR(E$28=1,E$28=2),E$17,E$26))</f>
        <v>6</v>
      </c>
      <c r="F31" s="23">
        <f>IF(F$17*F$18*F$26*F$27=0,"",IF(OR(F$28=1,F$28=2),F$17,F$26))</f>
        <v>6</v>
      </c>
      <c r="G31" s="23">
        <f>IF(G$17*G$18*G$26*G$27=0,"",IF(OR(G$28=1,G$28=2),G$17,G$26))</f>
        <v>6</v>
      </c>
      <c r="H31" s="23">
        <f>IF(H$17*H$18*H$26*H$27=0,"",IF(OR(H$28=1,H$28=2),H$17,H$26))</f>
        <v>6</v>
      </c>
      <c r="I31" s="1"/>
      <c r="J31" s="1"/>
      <c r="K31" s="1"/>
      <c r="L31" s="1"/>
      <c r="M31" s="1"/>
      <c r="N31" s="1"/>
      <c r="O31" s="1"/>
      <c r="P31" s="1"/>
    </row>
    <row r="32" spans="1:16" ht="12" customHeight="1">
      <c r="A32" s="96"/>
      <c r="B32" s="12" t="s">
        <v>110</v>
      </c>
      <c r="C32" s="13" t="s">
        <v>77</v>
      </c>
      <c r="D32" s="2" t="s">
        <v>112</v>
      </c>
      <c r="E32" s="14">
        <f>IF(E$17*E$18*E$26*E$27=0,"",10^(E$33/20))</f>
        <v>1</v>
      </c>
      <c r="F32" s="14">
        <f>IF(F$17*F$18*F$26*F$27=0,"",10^(F$33/20))</f>
        <v>1</v>
      </c>
      <c r="G32" s="14">
        <f>IF(G$17*G$18*G$26*G$27=0,"",10^(G$33/20))</f>
        <v>1</v>
      </c>
      <c r="H32" s="14">
        <f>IF(H$17*H$18*H$26*H$27=0,"",10^(H$33/20))</f>
        <v>1</v>
      </c>
      <c r="I32" s="1"/>
      <c r="J32" s="1"/>
      <c r="K32" s="1"/>
      <c r="L32" s="1"/>
      <c r="M32" s="1"/>
      <c r="N32" s="1"/>
      <c r="O32" s="1"/>
      <c r="P32" s="1"/>
    </row>
    <row r="33" spans="1:16" ht="12" customHeight="1">
      <c r="A33" s="97"/>
      <c r="B33" s="12" t="s">
        <v>110</v>
      </c>
      <c r="C33" s="13" t="s">
        <v>77</v>
      </c>
      <c r="D33" s="2" t="s">
        <v>125</v>
      </c>
      <c r="E33" s="14">
        <f>IF(E$17*E$18*E$26*E$27=0,"",IF(E$28=1,0,E$27-E$18+10*LOG(E$17/E$26)+IF(E$28=2,IF(E$29="Blank",20*LOG(E$26/E$31),20*LOG(E$26*E$29/((E$26+E$29)*E$31))),0)))</f>
        <v>0</v>
      </c>
      <c r="F33" s="14">
        <f>IF(F$17*F$18*F$26*F$27=0,"",IF(F$28=1,0,F$27-F$18+10*LOG(F$17/F$26)+IF(F$28=2,IF(F$29="Blank",20*LOG(F$26/F$31),20*LOG(F$26*F$29/((F$26+F$29)*F$31))),0)))</f>
        <v>0</v>
      </c>
      <c r="G33" s="14">
        <f>IF(G$17*G$18*G$26*G$27=0,"",IF(G$28=1,0,G$27-G$18+10*LOG(G$17/G$26)+IF(G$28=2,IF(G$29="Blank",20*LOG(G$26/G$31),20*LOG(G$26*G$29/((G$26+G$29)*G$31))),0)))</f>
        <v>0</v>
      </c>
      <c r="H33" s="14">
        <f>IF(H$17*H$18*H$26*H$27=0,"",IF(H$28=1,0,H$27-H$18+10*LOG(H$17/H$26)+IF(H$28=2,IF(H$29="Blank",20*LOG(H$26/H$31),20*LOG(H$26*H$29/((H$26+H$29)*H$31))),0)))</f>
        <v>0</v>
      </c>
      <c r="I33" s="1"/>
      <c r="J33" s="1"/>
      <c r="K33" s="1"/>
      <c r="L33" s="1"/>
      <c r="M33" s="1"/>
      <c r="N33" s="1"/>
      <c r="O33" s="1"/>
      <c r="P33" s="1"/>
    </row>
    <row r="34" spans="1:8" ht="12" customHeight="1">
      <c r="A34" s="90" t="s">
        <v>96</v>
      </c>
      <c r="B34" s="4">
        <v>20</v>
      </c>
      <c r="C34" s="5" t="s">
        <v>130</v>
      </c>
      <c r="D34" s="2" t="s">
        <v>201</v>
      </c>
      <c r="E34" s="6">
        <f aca="true" t="shared" si="0" ref="E34:H55">E$17</f>
        <v>6</v>
      </c>
      <c r="F34" s="6">
        <f t="shared" si="0"/>
        <v>6</v>
      </c>
      <c r="G34" s="6">
        <f t="shared" si="0"/>
        <v>6</v>
      </c>
      <c r="H34" s="6">
        <f t="shared" si="0"/>
        <v>6</v>
      </c>
    </row>
    <row r="35" spans="1:8" ht="12" customHeight="1">
      <c r="A35" s="90"/>
      <c r="B35" s="4">
        <v>30</v>
      </c>
      <c r="C35" s="5" t="s">
        <v>130</v>
      </c>
      <c r="D35" s="2" t="s">
        <v>201</v>
      </c>
      <c r="E35" s="6">
        <f t="shared" si="0"/>
        <v>6</v>
      </c>
      <c r="F35" s="6">
        <f t="shared" si="0"/>
        <v>6</v>
      </c>
      <c r="G35" s="6">
        <f t="shared" si="0"/>
        <v>6</v>
      </c>
      <c r="H35" s="6">
        <f t="shared" si="0"/>
        <v>6</v>
      </c>
    </row>
    <row r="36" spans="1:8" ht="12" customHeight="1">
      <c r="A36" s="90"/>
      <c r="B36" s="4">
        <v>40</v>
      </c>
      <c r="C36" s="5" t="s">
        <v>130</v>
      </c>
      <c r="D36" s="2" t="s">
        <v>201</v>
      </c>
      <c r="E36" s="6">
        <f t="shared" si="0"/>
        <v>6</v>
      </c>
      <c r="F36" s="6">
        <f t="shared" si="0"/>
        <v>6</v>
      </c>
      <c r="G36" s="6">
        <f t="shared" si="0"/>
        <v>6</v>
      </c>
      <c r="H36" s="6">
        <f t="shared" si="0"/>
        <v>6</v>
      </c>
    </row>
    <row r="37" spans="1:8" ht="12" customHeight="1">
      <c r="A37" s="102"/>
      <c r="B37" s="4">
        <v>50</v>
      </c>
      <c r="C37" s="5" t="s">
        <v>130</v>
      </c>
      <c r="D37" s="2" t="s">
        <v>201</v>
      </c>
      <c r="E37" s="6">
        <f t="shared" si="0"/>
        <v>6</v>
      </c>
      <c r="F37" s="6">
        <f t="shared" si="0"/>
        <v>6</v>
      </c>
      <c r="G37" s="6">
        <f t="shared" si="0"/>
        <v>6</v>
      </c>
      <c r="H37" s="6">
        <f t="shared" si="0"/>
        <v>6</v>
      </c>
    </row>
    <row r="38" spans="1:8" ht="12" customHeight="1">
      <c r="A38" s="102"/>
      <c r="B38" s="4">
        <v>70</v>
      </c>
      <c r="C38" s="5" t="s">
        <v>130</v>
      </c>
      <c r="D38" s="2" t="s">
        <v>201</v>
      </c>
      <c r="E38" s="6">
        <f t="shared" si="0"/>
        <v>6</v>
      </c>
      <c r="F38" s="6">
        <f t="shared" si="0"/>
        <v>6</v>
      </c>
      <c r="G38" s="6">
        <f t="shared" si="0"/>
        <v>6</v>
      </c>
      <c r="H38" s="6">
        <f t="shared" si="0"/>
        <v>6</v>
      </c>
    </row>
    <row r="39" spans="1:8" ht="12" customHeight="1">
      <c r="A39" s="102"/>
      <c r="B39" s="4">
        <v>100</v>
      </c>
      <c r="C39" s="5" t="s">
        <v>130</v>
      </c>
      <c r="D39" s="2" t="s">
        <v>201</v>
      </c>
      <c r="E39" s="6">
        <f t="shared" si="0"/>
        <v>6</v>
      </c>
      <c r="F39" s="6">
        <f t="shared" si="0"/>
        <v>6</v>
      </c>
      <c r="G39" s="6">
        <f t="shared" si="0"/>
        <v>6</v>
      </c>
      <c r="H39" s="6">
        <f t="shared" si="0"/>
        <v>6</v>
      </c>
    </row>
    <row r="40" spans="1:8" ht="12" customHeight="1">
      <c r="A40" s="102"/>
      <c r="B40" s="4">
        <v>150</v>
      </c>
      <c r="C40" s="5" t="s">
        <v>130</v>
      </c>
      <c r="D40" s="2" t="s">
        <v>201</v>
      </c>
      <c r="E40" s="6">
        <f t="shared" si="0"/>
        <v>6</v>
      </c>
      <c r="F40" s="6">
        <f t="shared" si="0"/>
        <v>6</v>
      </c>
      <c r="G40" s="6">
        <f t="shared" si="0"/>
        <v>6</v>
      </c>
      <c r="H40" s="6">
        <f t="shared" si="0"/>
        <v>6</v>
      </c>
    </row>
    <row r="41" spans="1:8" ht="12" customHeight="1">
      <c r="A41" s="102"/>
      <c r="B41" s="4">
        <v>200</v>
      </c>
      <c r="C41" s="5" t="s">
        <v>130</v>
      </c>
      <c r="D41" s="2" t="s">
        <v>201</v>
      </c>
      <c r="E41" s="6">
        <f t="shared" si="0"/>
        <v>6</v>
      </c>
      <c r="F41" s="6">
        <f t="shared" si="0"/>
        <v>6</v>
      </c>
      <c r="G41" s="6">
        <f t="shared" si="0"/>
        <v>6</v>
      </c>
      <c r="H41" s="6">
        <f t="shared" si="0"/>
        <v>6</v>
      </c>
    </row>
    <row r="42" spans="1:8" ht="12" customHeight="1">
      <c r="A42" s="102"/>
      <c r="B42" s="4">
        <v>300</v>
      </c>
      <c r="C42" s="5" t="s">
        <v>130</v>
      </c>
      <c r="D42" s="2" t="s">
        <v>201</v>
      </c>
      <c r="E42" s="6">
        <f t="shared" si="0"/>
        <v>6</v>
      </c>
      <c r="F42" s="6">
        <f t="shared" si="0"/>
        <v>6</v>
      </c>
      <c r="G42" s="6">
        <f t="shared" si="0"/>
        <v>6</v>
      </c>
      <c r="H42" s="6">
        <f t="shared" si="0"/>
        <v>6</v>
      </c>
    </row>
    <row r="43" spans="1:8" ht="12" customHeight="1">
      <c r="A43" s="102"/>
      <c r="B43" s="4">
        <v>400</v>
      </c>
      <c r="C43" s="5" t="s">
        <v>130</v>
      </c>
      <c r="D43" s="2" t="s">
        <v>201</v>
      </c>
      <c r="E43" s="6">
        <f t="shared" si="0"/>
        <v>6</v>
      </c>
      <c r="F43" s="6">
        <f t="shared" si="0"/>
        <v>6</v>
      </c>
      <c r="G43" s="6">
        <f t="shared" si="0"/>
        <v>6</v>
      </c>
      <c r="H43" s="6">
        <f t="shared" si="0"/>
        <v>6</v>
      </c>
    </row>
    <row r="44" spans="1:8" ht="12" customHeight="1">
      <c r="A44" s="102"/>
      <c r="B44" s="4">
        <v>500</v>
      </c>
      <c r="C44" s="5" t="s">
        <v>130</v>
      </c>
      <c r="D44" s="2" t="s">
        <v>201</v>
      </c>
      <c r="E44" s="6">
        <f t="shared" si="0"/>
        <v>6</v>
      </c>
      <c r="F44" s="6">
        <f t="shared" si="0"/>
        <v>6</v>
      </c>
      <c r="G44" s="6">
        <f t="shared" si="0"/>
        <v>6</v>
      </c>
      <c r="H44" s="6">
        <f t="shared" si="0"/>
        <v>6</v>
      </c>
    </row>
    <row r="45" spans="1:8" ht="12" customHeight="1">
      <c r="A45" s="102"/>
      <c r="B45" s="4">
        <v>700</v>
      </c>
      <c r="C45" s="5" t="s">
        <v>130</v>
      </c>
      <c r="D45" s="2" t="s">
        <v>201</v>
      </c>
      <c r="E45" s="6">
        <f t="shared" si="0"/>
        <v>6</v>
      </c>
      <c r="F45" s="6">
        <f t="shared" si="0"/>
        <v>6</v>
      </c>
      <c r="G45" s="6">
        <f t="shared" si="0"/>
        <v>6</v>
      </c>
      <c r="H45" s="6">
        <f t="shared" si="0"/>
        <v>6</v>
      </c>
    </row>
    <row r="46" spans="1:8" ht="12" customHeight="1">
      <c r="A46" s="102"/>
      <c r="B46" s="4" t="s">
        <v>64</v>
      </c>
      <c r="C46" s="5" t="s">
        <v>130</v>
      </c>
      <c r="D46" s="2" t="s">
        <v>201</v>
      </c>
      <c r="E46" s="6">
        <f t="shared" si="0"/>
        <v>6</v>
      </c>
      <c r="F46" s="6">
        <f t="shared" si="0"/>
        <v>6</v>
      </c>
      <c r="G46" s="6">
        <f t="shared" si="0"/>
        <v>6</v>
      </c>
      <c r="H46" s="6">
        <f t="shared" si="0"/>
        <v>6</v>
      </c>
    </row>
    <row r="47" spans="1:8" ht="12" customHeight="1">
      <c r="A47" s="102"/>
      <c r="B47" s="4" t="s">
        <v>65</v>
      </c>
      <c r="C47" s="5" t="s">
        <v>130</v>
      </c>
      <c r="D47" s="2" t="s">
        <v>201</v>
      </c>
      <c r="E47" s="6">
        <f t="shared" si="0"/>
        <v>6</v>
      </c>
      <c r="F47" s="6">
        <f t="shared" si="0"/>
        <v>6</v>
      </c>
      <c r="G47" s="6">
        <f t="shared" si="0"/>
        <v>6</v>
      </c>
      <c r="H47" s="6">
        <f t="shared" si="0"/>
        <v>6</v>
      </c>
    </row>
    <row r="48" spans="1:8" ht="12" customHeight="1">
      <c r="A48" s="102"/>
      <c r="B48" s="4" t="s">
        <v>66</v>
      </c>
      <c r="C48" s="5" t="s">
        <v>130</v>
      </c>
      <c r="D48" s="2" t="s">
        <v>201</v>
      </c>
      <c r="E48" s="6">
        <f t="shared" si="0"/>
        <v>6</v>
      </c>
      <c r="F48" s="6">
        <f t="shared" si="0"/>
        <v>6</v>
      </c>
      <c r="G48" s="6">
        <f t="shared" si="0"/>
        <v>6</v>
      </c>
      <c r="H48" s="6">
        <f t="shared" si="0"/>
        <v>6</v>
      </c>
    </row>
    <row r="49" spans="1:8" ht="12" customHeight="1">
      <c r="A49" s="102"/>
      <c r="B49" s="4" t="s">
        <v>67</v>
      </c>
      <c r="C49" s="5" t="s">
        <v>130</v>
      </c>
      <c r="D49" s="2" t="s">
        <v>201</v>
      </c>
      <c r="E49" s="6">
        <f t="shared" si="0"/>
        <v>6</v>
      </c>
      <c r="F49" s="6">
        <f t="shared" si="0"/>
        <v>6</v>
      </c>
      <c r="G49" s="6">
        <f t="shared" si="0"/>
        <v>6</v>
      </c>
      <c r="H49" s="6">
        <f t="shared" si="0"/>
        <v>6</v>
      </c>
    </row>
    <row r="50" spans="1:8" ht="12" customHeight="1">
      <c r="A50" s="102"/>
      <c r="B50" s="4" t="s">
        <v>68</v>
      </c>
      <c r="C50" s="5" t="s">
        <v>130</v>
      </c>
      <c r="D50" s="2" t="s">
        <v>201</v>
      </c>
      <c r="E50" s="6">
        <f t="shared" si="0"/>
        <v>6</v>
      </c>
      <c r="F50" s="6">
        <f t="shared" si="0"/>
        <v>6</v>
      </c>
      <c r="G50" s="6">
        <f t="shared" si="0"/>
        <v>6</v>
      </c>
      <c r="H50" s="6">
        <f t="shared" si="0"/>
        <v>6</v>
      </c>
    </row>
    <row r="51" spans="1:8" ht="12" customHeight="1">
      <c r="A51" s="102"/>
      <c r="B51" s="4" t="s">
        <v>69</v>
      </c>
      <c r="C51" s="5" t="s">
        <v>130</v>
      </c>
      <c r="D51" s="2" t="s">
        <v>201</v>
      </c>
      <c r="E51" s="6">
        <f t="shared" si="0"/>
        <v>6</v>
      </c>
      <c r="F51" s="6">
        <f t="shared" si="0"/>
        <v>6</v>
      </c>
      <c r="G51" s="6">
        <f t="shared" si="0"/>
        <v>6</v>
      </c>
      <c r="H51" s="6">
        <f t="shared" si="0"/>
        <v>6</v>
      </c>
    </row>
    <row r="52" spans="1:8" ht="12" customHeight="1">
      <c r="A52" s="102"/>
      <c r="B52" s="4" t="s">
        <v>70</v>
      </c>
      <c r="C52" s="5" t="s">
        <v>130</v>
      </c>
      <c r="D52" s="2" t="s">
        <v>201</v>
      </c>
      <c r="E52" s="6">
        <f t="shared" si="0"/>
        <v>6</v>
      </c>
      <c r="F52" s="6">
        <f t="shared" si="0"/>
        <v>6</v>
      </c>
      <c r="G52" s="6">
        <f t="shared" si="0"/>
        <v>6</v>
      </c>
      <c r="H52" s="6">
        <f t="shared" si="0"/>
        <v>6</v>
      </c>
    </row>
    <row r="53" spans="1:8" ht="12" customHeight="1">
      <c r="A53" s="102"/>
      <c r="B53" s="4" t="s">
        <v>71</v>
      </c>
      <c r="C53" s="5" t="s">
        <v>130</v>
      </c>
      <c r="D53" s="2" t="s">
        <v>201</v>
      </c>
      <c r="E53" s="6">
        <f t="shared" si="0"/>
        <v>6</v>
      </c>
      <c r="F53" s="6">
        <f t="shared" si="0"/>
        <v>6</v>
      </c>
      <c r="G53" s="6">
        <f t="shared" si="0"/>
        <v>6</v>
      </c>
      <c r="H53" s="6">
        <f t="shared" si="0"/>
        <v>6</v>
      </c>
    </row>
    <row r="54" spans="1:8" ht="12" customHeight="1">
      <c r="A54" s="102"/>
      <c r="B54" s="4" t="s">
        <v>72</v>
      </c>
      <c r="C54" s="5" t="s">
        <v>130</v>
      </c>
      <c r="D54" s="2" t="s">
        <v>201</v>
      </c>
      <c r="E54" s="6">
        <f t="shared" si="0"/>
        <v>6</v>
      </c>
      <c r="F54" s="6">
        <f t="shared" si="0"/>
        <v>6</v>
      </c>
      <c r="G54" s="6">
        <f t="shared" si="0"/>
        <v>6</v>
      </c>
      <c r="H54" s="6">
        <f t="shared" si="0"/>
        <v>6</v>
      </c>
    </row>
    <row r="55" spans="1:8" ht="12" customHeight="1">
      <c r="A55" s="102"/>
      <c r="B55" s="4" t="s">
        <v>73</v>
      </c>
      <c r="C55" s="5" t="s">
        <v>130</v>
      </c>
      <c r="D55" s="2" t="s">
        <v>201</v>
      </c>
      <c r="E55" s="6">
        <f t="shared" si="0"/>
        <v>6</v>
      </c>
      <c r="F55" s="6">
        <f t="shared" si="0"/>
        <v>6</v>
      </c>
      <c r="G55" s="6">
        <f t="shared" si="0"/>
        <v>6</v>
      </c>
      <c r="H55" s="6">
        <f t="shared" si="0"/>
        <v>6</v>
      </c>
    </row>
    <row r="56" spans="1:8" ht="12" customHeight="1">
      <c r="A56" s="81" t="s">
        <v>116</v>
      </c>
      <c r="B56" s="4">
        <v>20</v>
      </c>
      <c r="C56" s="5" t="s">
        <v>130</v>
      </c>
      <c r="D56" s="2" t="s">
        <v>125</v>
      </c>
      <c r="E56" s="21">
        <f>IF(E$31="","",E$33+IF(E$21=0,0,20*LOG(E$31*E166/((E144^2*E166^2+E$31^2*(E144-E166)^2)^0.5))))</f>
        <v>-4.342930049285447E-08</v>
      </c>
      <c r="F56" s="21">
        <f>IF(F$31="","",F$33+IF(F$20=0,0,20*LOG(F$31*F100/((F100^2*F122^2+F$31^2*(F100-F122)^2)^0.5)))+IF(F$21=0,0,20*LOG(F$31*F166/((F144^2*F166^2+F$31^2*(F144-F166)^2)^0.5)))+$F$18-$E$18)</f>
        <v>0</v>
      </c>
      <c r="G56" s="21">
        <f>IF(G$31="","",G$33+IF(G$20=0,0,20*LOG(G$31*G100/((G100^2*G122^2+G$31^2*(G100-G122)^2)^0.5)))+IF(G$21=0,0,20*LOG(G$31*G166/((G144^2*G166^2+G$31^2*(G144-G166)^2)^0.5)))+$G$18-$E$18)</f>
        <v>-80.00001471674972</v>
      </c>
      <c r="H56" s="21">
        <f>IF(H$31="","",H$33+IF(H$20=0,0,20*LOG(H$31*H100/((H100^2*H122^2+H$31^2*(H100-H122)^2)^0.5)))+$H$18-$E$18)</f>
        <v>0</v>
      </c>
    </row>
    <row r="57" spans="1:8" ht="12" customHeight="1">
      <c r="A57" s="82"/>
      <c r="B57" s="4">
        <v>30</v>
      </c>
      <c r="C57" s="5" t="s">
        <v>130</v>
      </c>
      <c r="D57" s="2" t="s">
        <v>125</v>
      </c>
      <c r="E57" s="21">
        <f aca="true" t="shared" si="1" ref="E57:E77">IF(E$31="","",E$33+IF(E$21=0,0,20*LOG(E$31*E167/((E145^2*E167^2+E$31^2*(E145-E167)^2)^0.5))))</f>
        <v>-2.198608338685634E-07</v>
      </c>
      <c r="F57" s="21">
        <f aca="true" t="shared" si="2" ref="F57:F77">IF(F$31="","",F$33+IF(F$20=0,0,20*LOG(F$31*F101/((F101^2*F123^2+F$31^2*(F101-F123)^2)^0.5)))+IF(F$21=0,0,20*LOG(F$31*F167/((F145^2*F167^2+F$31^2*(F145-F167)^2)^0.5)))+$F$18-$E$18)</f>
        <v>0</v>
      </c>
      <c r="G57" s="21">
        <f aca="true" t="shared" si="3" ref="G57:G77">IF(G$31="","",G$33+IF(G$20=0,0,20*LOG(G$31*G101/((G101^2*G123^2+G$31^2*(G101-G123)^2)^0.5)))+IF(G$21=0,0,20*LOG(G$31*G167/((G145^2*G167^2+G$31^2*(G145-G167)^2)^0.5)))+$G$18-$E$18)</f>
        <v>-72.956364530954</v>
      </c>
      <c r="H57" s="21">
        <f aca="true" t="shared" si="4" ref="H57:H77">IF(H$31="","",H$33+IF(H$20=0,0,20*LOG(H$31*H101/((H101^2*H123^2+H$31^2*(H101-H123)^2)^0.5)))+$H$18-$E$18)</f>
        <v>0</v>
      </c>
    </row>
    <row r="58" spans="1:8" ht="12" customHeight="1">
      <c r="A58" s="82"/>
      <c r="B58" s="4">
        <v>40</v>
      </c>
      <c r="C58" s="5" t="s">
        <v>130</v>
      </c>
      <c r="D58" s="2" t="s">
        <v>125</v>
      </c>
      <c r="E58" s="21">
        <f t="shared" si="1"/>
        <v>-6.948687674045641E-07</v>
      </c>
      <c r="F58" s="21">
        <f t="shared" si="2"/>
        <v>0</v>
      </c>
      <c r="G58" s="21">
        <f t="shared" si="3"/>
        <v>-67.95881554162995</v>
      </c>
      <c r="H58" s="21">
        <f t="shared" si="4"/>
        <v>0</v>
      </c>
    </row>
    <row r="59" spans="1:8" ht="12" customHeight="1">
      <c r="A59" s="82"/>
      <c r="B59" s="4">
        <v>50</v>
      </c>
      <c r="C59" s="5" t="s">
        <v>130</v>
      </c>
      <c r="D59" s="2" t="s">
        <v>125</v>
      </c>
      <c r="E59" s="21">
        <f t="shared" si="1"/>
        <v>-1.696456756586626E-06</v>
      </c>
      <c r="F59" s="21">
        <f t="shared" si="2"/>
        <v>0</v>
      </c>
      <c r="G59" s="21">
        <f t="shared" si="3"/>
        <v>-64.08241602289567</v>
      </c>
      <c r="H59" s="21">
        <f t="shared" si="4"/>
        <v>0</v>
      </c>
    </row>
    <row r="60" spans="1:8" ht="12" customHeight="1">
      <c r="A60" s="82"/>
      <c r="B60" s="4">
        <v>70</v>
      </c>
      <c r="C60" s="5" t="s">
        <v>130</v>
      </c>
      <c r="D60" s="2" t="s">
        <v>125</v>
      </c>
      <c r="E60" s="21">
        <f t="shared" si="1"/>
        <v>-6.517104660989587E-06</v>
      </c>
      <c r="F60" s="21">
        <f t="shared" si="2"/>
        <v>0</v>
      </c>
      <c r="G60" s="21">
        <f t="shared" si="3"/>
        <v>-58.23729941641406</v>
      </c>
      <c r="H60" s="21">
        <f t="shared" si="4"/>
        <v>0</v>
      </c>
    </row>
    <row r="61" spans="1:8" ht="12" customHeight="1">
      <c r="A61" s="82"/>
      <c r="B61" s="4">
        <v>100</v>
      </c>
      <c r="C61" s="5" t="s">
        <v>130</v>
      </c>
      <c r="D61" s="2" t="s">
        <v>125</v>
      </c>
      <c r="E61" s="21">
        <f t="shared" si="1"/>
        <v>-2.7143228587992306E-05</v>
      </c>
      <c r="F61" s="21">
        <f t="shared" si="2"/>
        <v>0</v>
      </c>
      <c r="G61" s="21">
        <f t="shared" si="3"/>
        <v>-52.04124164310826</v>
      </c>
      <c r="H61" s="21">
        <f t="shared" si="4"/>
        <v>0</v>
      </c>
    </row>
    <row r="62" spans="1:8" ht="12" customHeight="1">
      <c r="A62" s="82"/>
      <c r="B62" s="4">
        <v>150</v>
      </c>
      <c r="C62" s="5" t="s">
        <v>130</v>
      </c>
      <c r="D62" s="2" t="s">
        <v>125</v>
      </c>
      <c r="E62" s="21">
        <f t="shared" si="1"/>
        <v>-0.0001374108502782299</v>
      </c>
      <c r="F62" s="21">
        <f t="shared" si="2"/>
        <v>0</v>
      </c>
      <c r="G62" s="21">
        <f t="shared" si="3"/>
        <v>-44.997701548502704</v>
      </c>
      <c r="H62" s="21">
        <f t="shared" si="4"/>
        <v>0</v>
      </c>
    </row>
    <row r="63" spans="1:8" ht="12" customHeight="1">
      <c r="A63" s="82"/>
      <c r="B63" s="4">
        <v>200</v>
      </c>
      <c r="C63" s="5" t="s">
        <v>130</v>
      </c>
      <c r="D63" s="2" t="s">
        <v>125</v>
      </c>
      <c r="E63" s="21">
        <f t="shared" si="1"/>
        <v>-0.0004342713014444864</v>
      </c>
      <c r="F63" s="21">
        <f t="shared" si="2"/>
        <v>0</v>
      </c>
      <c r="G63" s="21">
        <f t="shared" si="3"/>
        <v>-40.000448944621866</v>
      </c>
      <c r="H63" s="21">
        <f t="shared" si="4"/>
        <v>0</v>
      </c>
    </row>
    <row r="64" spans="1:8" ht="12" customHeight="1">
      <c r="A64" s="82"/>
      <c r="B64" s="4">
        <v>300</v>
      </c>
      <c r="C64" s="5" t="s">
        <v>130</v>
      </c>
      <c r="D64" s="2" t="s">
        <v>125</v>
      </c>
      <c r="E64" s="21">
        <f t="shared" si="1"/>
        <v>-0.0021980520531661688</v>
      </c>
      <c r="F64" s="21">
        <f t="shared" si="2"/>
        <v>0</v>
      </c>
      <c r="G64" s="21">
        <f t="shared" si="3"/>
        <v>-32.958562363146335</v>
      </c>
      <c r="H64" s="21">
        <f t="shared" si="4"/>
        <v>0</v>
      </c>
    </row>
    <row r="65" spans="1:8" ht="12" customHeight="1">
      <c r="A65" s="82"/>
      <c r="B65" s="4">
        <v>400</v>
      </c>
      <c r="C65" s="5" t="s">
        <v>130</v>
      </c>
      <c r="D65" s="2" t="s">
        <v>125</v>
      </c>
      <c r="E65" s="21">
        <f t="shared" si="1"/>
        <v>-0.006943135223775024</v>
      </c>
      <c r="F65" s="21">
        <f t="shared" si="2"/>
        <v>0</v>
      </c>
      <c r="G65" s="21">
        <f t="shared" si="3"/>
        <v>-27.96575798198495</v>
      </c>
      <c r="H65" s="21">
        <f t="shared" si="4"/>
        <v>0</v>
      </c>
    </row>
    <row r="66" spans="1:8" ht="12" customHeight="1">
      <c r="A66" s="82"/>
      <c r="B66" s="4">
        <v>500</v>
      </c>
      <c r="C66" s="5" t="s">
        <v>130</v>
      </c>
      <c r="D66" s="2" t="s">
        <v>125</v>
      </c>
      <c r="E66" s="21">
        <f t="shared" si="1"/>
        <v>-0.016931523099913838</v>
      </c>
      <c r="F66" s="21">
        <f t="shared" si="2"/>
        <v>0</v>
      </c>
      <c r="G66" s="21">
        <f t="shared" si="3"/>
        <v>-24.099345849538835</v>
      </c>
      <c r="H66" s="21">
        <f t="shared" si="4"/>
        <v>0</v>
      </c>
    </row>
    <row r="67" spans="1:8" ht="12" customHeight="1">
      <c r="A67" s="82"/>
      <c r="B67" s="4">
        <v>700</v>
      </c>
      <c r="C67" s="5" t="s">
        <v>130</v>
      </c>
      <c r="D67" s="2" t="s">
        <v>125</v>
      </c>
      <c r="E67" s="21">
        <f t="shared" si="1"/>
        <v>-0.06468694774527853</v>
      </c>
      <c r="F67" s="21">
        <f t="shared" si="2"/>
        <v>0</v>
      </c>
      <c r="G67" s="21">
        <f t="shared" si="3"/>
        <v>-18.30197984705468</v>
      </c>
      <c r="H67" s="21">
        <f t="shared" si="4"/>
        <v>0</v>
      </c>
    </row>
    <row r="68" spans="1:8" ht="12" customHeight="1">
      <c r="A68" s="82"/>
      <c r="B68" s="4" t="s">
        <v>43</v>
      </c>
      <c r="C68" s="5" t="s">
        <v>130</v>
      </c>
      <c r="D68" s="2" t="s">
        <v>125</v>
      </c>
      <c r="E68" s="21">
        <f t="shared" si="1"/>
        <v>-0.26328852408836895</v>
      </c>
      <c r="F68" s="21">
        <f t="shared" si="2"/>
        <v>0</v>
      </c>
      <c r="G68" s="21">
        <f t="shared" si="3"/>
        <v>-12.304503023968039</v>
      </c>
      <c r="H68" s="21">
        <f t="shared" si="4"/>
        <v>0</v>
      </c>
    </row>
    <row r="69" spans="1:8" ht="12" customHeight="1">
      <c r="A69" s="82"/>
      <c r="B69" s="4" t="s">
        <v>44</v>
      </c>
      <c r="C69" s="5" t="s">
        <v>130</v>
      </c>
      <c r="D69" s="2" t="s">
        <v>125</v>
      </c>
      <c r="E69" s="21">
        <f t="shared" si="1"/>
        <v>-1.193895828777594</v>
      </c>
      <c r="F69" s="21">
        <f t="shared" si="2"/>
        <v>0</v>
      </c>
      <c r="G69" s="21">
        <f t="shared" si="3"/>
        <v>-6.191459966430017</v>
      </c>
      <c r="H69" s="21">
        <f t="shared" si="4"/>
        <v>0</v>
      </c>
    </row>
    <row r="70" spans="1:8" ht="12" customHeight="1">
      <c r="A70" s="82"/>
      <c r="B70" s="4" t="s">
        <v>45</v>
      </c>
      <c r="C70" s="5" t="s">
        <v>130</v>
      </c>
      <c r="D70" s="2" t="s">
        <v>125</v>
      </c>
      <c r="E70" s="21">
        <f t="shared" si="1"/>
        <v>-3.010292619985796</v>
      </c>
      <c r="F70" s="21">
        <f t="shared" si="2"/>
        <v>0</v>
      </c>
      <c r="G70" s="21">
        <f t="shared" si="3"/>
        <v>-3.0103072933062265</v>
      </c>
      <c r="H70" s="21">
        <f t="shared" si="4"/>
        <v>0</v>
      </c>
    </row>
    <row r="71" spans="1:8" ht="12" customHeight="1">
      <c r="A71" s="82"/>
      <c r="B71" s="4" t="s">
        <v>46</v>
      </c>
      <c r="C71" s="5" t="s">
        <v>130</v>
      </c>
      <c r="D71" s="2" t="s">
        <v>125</v>
      </c>
      <c r="E71" s="21">
        <f t="shared" si="1"/>
        <v>-7.826505263127706</v>
      </c>
      <c r="F71" s="21">
        <f t="shared" si="2"/>
        <v>0</v>
      </c>
      <c r="G71" s="21">
        <f t="shared" si="3"/>
        <v>-0.7828695742208822</v>
      </c>
      <c r="H71" s="21">
        <f t="shared" si="4"/>
        <v>0</v>
      </c>
    </row>
    <row r="72" spans="1:8" ht="12" customHeight="1">
      <c r="A72" s="82"/>
      <c r="B72" s="4" t="s">
        <v>47</v>
      </c>
      <c r="C72" s="5" t="s">
        <v>130</v>
      </c>
      <c r="D72" s="2" t="s">
        <v>125</v>
      </c>
      <c r="E72" s="21">
        <f t="shared" si="1"/>
        <v>-12.30447540360018</v>
      </c>
      <c r="F72" s="21">
        <f t="shared" si="2"/>
        <v>0</v>
      </c>
      <c r="G72" s="21">
        <f t="shared" si="3"/>
        <v>-0.263290250361365</v>
      </c>
      <c r="H72" s="21">
        <f t="shared" si="4"/>
        <v>0</v>
      </c>
    </row>
    <row r="73" spans="1:8" ht="12" customHeight="1">
      <c r="A73" s="82"/>
      <c r="B73" s="4" t="s">
        <v>48</v>
      </c>
      <c r="C73" s="5" t="s">
        <v>130</v>
      </c>
      <c r="D73" s="2" t="s">
        <v>125</v>
      </c>
      <c r="E73" s="21">
        <f t="shared" si="1"/>
        <v>-16.027366161569834</v>
      </c>
      <c r="F73" s="21">
        <f t="shared" si="2"/>
        <v>0</v>
      </c>
      <c r="G73" s="21">
        <f t="shared" si="3"/>
        <v>-0.10978048800875229</v>
      </c>
      <c r="H73" s="21">
        <f t="shared" si="4"/>
        <v>0</v>
      </c>
    </row>
    <row r="74" spans="1:8" ht="12" customHeight="1">
      <c r="A74" s="82"/>
      <c r="B74" s="4" t="s">
        <v>49</v>
      </c>
      <c r="C74" s="5" t="s">
        <v>130</v>
      </c>
      <c r="D74" s="2" t="s">
        <v>125</v>
      </c>
      <c r="E74" s="21">
        <f t="shared" si="1"/>
        <v>-21.7915521013311</v>
      </c>
      <c r="F74" s="21">
        <f t="shared" si="2"/>
        <v>0</v>
      </c>
      <c r="G74" s="21">
        <f t="shared" si="3"/>
        <v>-0.02884500064050144</v>
      </c>
      <c r="H74" s="21">
        <f t="shared" si="4"/>
        <v>0</v>
      </c>
    </row>
    <row r="75" spans="1:8" ht="12" customHeight="1">
      <c r="A75" s="82"/>
      <c r="B75" s="4" t="s">
        <v>50</v>
      </c>
      <c r="C75" s="5" t="s">
        <v>130</v>
      </c>
      <c r="D75" s="2" t="s">
        <v>125</v>
      </c>
      <c r="E75" s="21">
        <f t="shared" si="1"/>
        <v>-27.96572868222372</v>
      </c>
      <c r="F75" s="21">
        <f t="shared" si="2"/>
        <v>0</v>
      </c>
      <c r="G75" s="21">
        <f t="shared" si="3"/>
        <v>-0.006943182103398726</v>
      </c>
      <c r="H75" s="21">
        <f t="shared" si="4"/>
        <v>0</v>
      </c>
    </row>
    <row r="76" spans="1:8" ht="12" customHeight="1">
      <c r="A76" s="82"/>
      <c r="B76" s="4" t="s">
        <v>51</v>
      </c>
      <c r="C76" s="5" t="s">
        <v>130</v>
      </c>
      <c r="D76" s="2" t="s">
        <v>125</v>
      </c>
      <c r="E76" s="21">
        <f t="shared" si="1"/>
        <v>-35.00380823515621</v>
      </c>
      <c r="F76" s="21">
        <f t="shared" si="2"/>
        <v>0</v>
      </c>
      <c r="G76" s="21">
        <f t="shared" si="3"/>
        <v>-0.0013723728086318943</v>
      </c>
      <c r="H76" s="21">
        <f t="shared" si="4"/>
        <v>0</v>
      </c>
    </row>
    <row r="77" spans="1:8" ht="12" customHeight="1">
      <c r="A77" s="83"/>
      <c r="B77" s="4" t="s">
        <v>52</v>
      </c>
      <c r="C77" s="5" t="s">
        <v>130</v>
      </c>
      <c r="D77" s="2" t="s">
        <v>125</v>
      </c>
      <c r="E77" s="21">
        <f t="shared" si="1"/>
        <v>-40.00041960091539</v>
      </c>
      <c r="F77" s="21">
        <f t="shared" si="2"/>
        <v>0</v>
      </c>
      <c r="G77" s="21">
        <f t="shared" si="3"/>
        <v>-0.00043427423581476887</v>
      </c>
      <c r="H77" s="21">
        <f t="shared" si="4"/>
        <v>0</v>
      </c>
    </row>
    <row r="78" spans="1:8" ht="12" customHeight="1">
      <c r="A78" s="81" t="s">
        <v>117</v>
      </c>
      <c r="B78" s="4">
        <v>20</v>
      </c>
      <c r="C78" s="5" t="s">
        <v>130</v>
      </c>
      <c r="D78" s="2" t="s">
        <v>124</v>
      </c>
      <c r="E78" s="53">
        <f aca="true" t="shared" si="5" ref="E78:E99">IF(E166="",0,180/PI()*ATAN(E144*E166/(E$31*(E144-E166)))+IF(E144&gt;E166,-180,0))+IF(E$19=1,180,0)</f>
        <v>-0.8103110079235667</v>
      </c>
      <c r="F78" s="53">
        <f aca="true" t="shared" si="6" ref="F78:F99">IF(F100="",0,180/PI()*ATAN(F100*F122/(F$31*(F100-F122)))+IF(F100&gt;F122,-180,0))+IF(F166="",0,180/PI()*ATAN(F144*F166/(F$31*(F144-F166)))+IF(F144&gt;F166,-180,0))+IF(F$19=1,180,0)</f>
        <v>0</v>
      </c>
      <c r="G78" s="53">
        <f aca="true" t="shared" si="7" ref="G78:G99">IF(G100="",0,180/PI()*ATAN(G100*G122/(G$31*(G100-G122)))+IF(G100&gt;G122,-180,0))+IF(G166="",0,180/PI()*ATAN(G144*G166/(G$31*(G144-G166)))+IF(G144&gt;G166,-180,0))+IF(G$19=1,-180,0)</f>
        <v>-0.8103110079235667</v>
      </c>
      <c r="H78" s="53">
        <f aca="true" t="shared" si="8" ref="H78:H99">IF(H100="",0,180/PI()*ATAN(H100*H122/(H$31*(H100-H122)))+IF(H100&gt;H122,-180,0))+IF(H$19=1,-180,0)</f>
        <v>0</v>
      </c>
    </row>
    <row r="79" spans="1:8" ht="12" customHeight="1">
      <c r="A79" s="82"/>
      <c r="B79" s="4">
        <v>30</v>
      </c>
      <c r="C79" s="5" t="s">
        <v>130</v>
      </c>
      <c r="D79" s="2" t="s">
        <v>124</v>
      </c>
      <c r="E79" s="53">
        <f t="shared" si="5"/>
        <v>-1.2155171446726987</v>
      </c>
      <c r="F79" s="53">
        <f t="shared" si="6"/>
        <v>0</v>
      </c>
      <c r="G79" s="53">
        <f t="shared" si="7"/>
        <v>-1.2155171446726987</v>
      </c>
      <c r="H79" s="53">
        <f t="shared" si="8"/>
        <v>0</v>
      </c>
    </row>
    <row r="80" spans="1:8" ht="12" customHeight="1">
      <c r="A80" s="82"/>
      <c r="B80" s="4">
        <v>40</v>
      </c>
      <c r="C80" s="5" t="s">
        <v>130</v>
      </c>
      <c r="D80" s="2" t="s">
        <v>124</v>
      </c>
      <c r="E80" s="53">
        <f t="shared" si="5"/>
        <v>-1.6207840237419346</v>
      </c>
      <c r="F80" s="53">
        <f t="shared" si="6"/>
        <v>0</v>
      </c>
      <c r="G80" s="53">
        <f t="shared" si="7"/>
        <v>-1.6207840237419346</v>
      </c>
      <c r="H80" s="53">
        <f t="shared" si="8"/>
        <v>0</v>
      </c>
    </row>
    <row r="81" spans="1:8" ht="12" customHeight="1">
      <c r="A81" s="82"/>
      <c r="B81" s="4">
        <v>50</v>
      </c>
      <c r="C81" s="5" t="s">
        <v>130</v>
      </c>
      <c r="D81" s="2" t="s">
        <v>124</v>
      </c>
      <c r="E81" s="53">
        <f t="shared" si="5"/>
        <v>-2.026131864183126</v>
      </c>
      <c r="F81" s="53">
        <f t="shared" si="6"/>
        <v>0</v>
      </c>
      <c r="G81" s="53">
        <f t="shared" si="7"/>
        <v>-2.026131864183126</v>
      </c>
      <c r="H81" s="53">
        <f t="shared" si="8"/>
        <v>0</v>
      </c>
    </row>
    <row r="82" spans="1:8" ht="12" customHeight="1">
      <c r="A82" s="82"/>
      <c r="B82" s="4">
        <v>70</v>
      </c>
      <c r="C82" s="5" t="s">
        <v>130</v>
      </c>
      <c r="D82" s="2" t="s">
        <v>124</v>
      </c>
      <c r="E82" s="53">
        <f t="shared" si="5"/>
        <v>-2.8371511774645555</v>
      </c>
      <c r="F82" s="53">
        <f t="shared" si="6"/>
        <v>0</v>
      </c>
      <c r="G82" s="53">
        <f t="shared" si="7"/>
        <v>-2.8371511774645555</v>
      </c>
      <c r="H82" s="53">
        <f t="shared" si="8"/>
        <v>0</v>
      </c>
    </row>
    <row r="83" spans="1:8" ht="12" customHeight="1">
      <c r="A83" s="82"/>
      <c r="B83" s="4">
        <v>100</v>
      </c>
      <c r="C83" s="5" t="s">
        <v>130</v>
      </c>
      <c r="D83" s="2" t="s">
        <v>124</v>
      </c>
      <c r="E83" s="53">
        <f t="shared" si="5"/>
        <v>-4.054791104962807</v>
      </c>
      <c r="F83" s="53">
        <f t="shared" si="6"/>
        <v>0</v>
      </c>
      <c r="G83" s="53">
        <f t="shared" si="7"/>
        <v>-4.054791104962807</v>
      </c>
      <c r="H83" s="53">
        <f t="shared" si="8"/>
        <v>0</v>
      </c>
    </row>
    <row r="84" spans="1:8" ht="12" customHeight="1">
      <c r="A84" s="82"/>
      <c r="B84" s="4">
        <v>150</v>
      </c>
      <c r="C84" s="5" t="s">
        <v>130</v>
      </c>
      <c r="D84" s="2" t="s">
        <v>124</v>
      </c>
      <c r="E84" s="53">
        <f t="shared" si="5"/>
        <v>-6.088485989883947</v>
      </c>
      <c r="F84" s="53">
        <f t="shared" si="6"/>
        <v>0</v>
      </c>
      <c r="G84" s="53">
        <f t="shared" si="7"/>
        <v>-6.088485989883947</v>
      </c>
      <c r="H84" s="53">
        <f t="shared" si="8"/>
        <v>0</v>
      </c>
    </row>
    <row r="85" spans="1:8" ht="12" customHeight="1">
      <c r="A85" s="82"/>
      <c r="B85" s="4">
        <v>200</v>
      </c>
      <c r="C85" s="5" t="s">
        <v>130</v>
      </c>
      <c r="D85" s="2" t="s">
        <v>124</v>
      </c>
      <c r="E85" s="53">
        <f t="shared" si="5"/>
        <v>-8.129686217555903</v>
      </c>
      <c r="F85" s="53">
        <f t="shared" si="6"/>
        <v>0</v>
      </c>
      <c r="G85" s="53">
        <f t="shared" si="7"/>
        <v>-8.129686217555903</v>
      </c>
      <c r="H85" s="53">
        <f t="shared" si="8"/>
        <v>0</v>
      </c>
    </row>
    <row r="86" spans="1:8" ht="12" customHeight="1">
      <c r="A86" s="82"/>
      <c r="B86" s="4">
        <v>300</v>
      </c>
      <c r="C86" s="5" t="s">
        <v>130</v>
      </c>
      <c r="D86" s="2" t="s">
        <v>124</v>
      </c>
      <c r="E86" s="53">
        <f t="shared" si="5"/>
        <v>-12.244166757855453</v>
      </c>
      <c r="F86" s="53">
        <f t="shared" si="6"/>
        <v>0</v>
      </c>
      <c r="G86" s="53">
        <f t="shared" si="7"/>
        <v>-12.244166757855453</v>
      </c>
      <c r="H86" s="53">
        <f t="shared" si="8"/>
        <v>0</v>
      </c>
    </row>
    <row r="87" spans="1:8" ht="12" customHeight="1">
      <c r="A87" s="82"/>
      <c r="B87" s="4">
        <v>400</v>
      </c>
      <c r="C87" s="5" t="s">
        <v>130</v>
      </c>
      <c r="D87" s="2" t="s">
        <v>124</v>
      </c>
      <c r="E87" s="53">
        <f t="shared" si="5"/>
        <v>-16.416426160428518</v>
      </c>
      <c r="F87" s="53">
        <f t="shared" si="6"/>
        <v>0</v>
      </c>
      <c r="G87" s="53">
        <f t="shared" si="7"/>
        <v>-16.416426160428518</v>
      </c>
      <c r="H87" s="53">
        <f t="shared" si="8"/>
        <v>0</v>
      </c>
    </row>
    <row r="88" spans="1:8" ht="12" customHeight="1">
      <c r="A88" s="82"/>
      <c r="B88" s="4">
        <v>500</v>
      </c>
      <c r="C88" s="5" t="s">
        <v>130</v>
      </c>
      <c r="D88" s="2" t="s">
        <v>124</v>
      </c>
      <c r="E88" s="53">
        <f t="shared" si="5"/>
        <v>-20.662625895663176</v>
      </c>
      <c r="F88" s="53">
        <f t="shared" si="6"/>
        <v>0</v>
      </c>
      <c r="G88" s="53">
        <f t="shared" si="7"/>
        <v>-20.662625895663176</v>
      </c>
      <c r="H88" s="53">
        <f t="shared" si="8"/>
        <v>0</v>
      </c>
    </row>
    <row r="89" spans="1:8" ht="12" customHeight="1">
      <c r="A89" s="82"/>
      <c r="B89" s="4">
        <v>700</v>
      </c>
      <c r="C89" s="5" t="s">
        <v>130</v>
      </c>
      <c r="D89" s="2" t="s">
        <v>124</v>
      </c>
      <c r="E89" s="53">
        <f t="shared" si="5"/>
        <v>-29.426179043354836</v>
      </c>
      <c r="F89" s="53">
        <f t="shared" si="6"/>
        <v>0</v>
      </c>
      <c r="G89" s="53">
        <f t="shared" si="7"/>
        <v>-29.426179043354836</v>
      </c>
      <c r="H89" s="53">
        <f t="shared" si="8"/>
        <v>0</v>
      </c>
    </row>
    <row r="90" spans="1:8" ht="12" customHeight="1">
      <c r="A90" s="82"/>
      <c r="B90" s="4" t="s">
        <v>21</v>
      </c>
      <c r="C90" s="5" t="s">
        <v>130</v>
      </c>
      <c r="D90" s="2" t="s">
        <v>124</v>
      </c>
      <c r="E90" s="53">
        <f t="shared" si="5"/>
        <v>-43.313816398392106</v>
      </c>
      <c r="F90" s="53">
        <f t="shared" si="6"/>
        <v>0</v>
      </c>
      <c r="G90" s="53">
        <f t="shared" si="7"/>
        <v>-43.313816398392106</v>
      </c>
      <c r="H90" s="53">
        <f t="shared" si="8"/>
        <v>0</v>
      </c>
    </row>
    <row r="91" spans="1:8" ht="12" customHeight="1">
      <c r="A91" s="82"/>
      <c r="B91" s="4" t="s">
        <v>22</v>
      </c>
      <c r="C91" s="5" t="s">
        <v>130</v>
      </c>
      <c r="D91" s="2" t="s">
        <v>124</v>
      </c>
      <c r="E91" s="53">
        <f t="shared" si="5"/>
        <v>-67.58482201882408</v>
      </c>
      <c r="F91" s="53">
        <f t="shared" si="6"/>
        <v>0</v>
      </c>
      <c r="G91" s="53">
        <f t="shared" si="7"/>
        <v>-67.58482201882408</v>
      </c>
      <c r="H91" s="53">
        <f t="shared" si="8"/>
        <v>0</v>
      </c>
    </row>
    <row r="92" spans="1:8" ht="12" customHeight="1">
      <c r="A92" s="82"/>
      <c r="B92" s="4" t="s">
        <v>23</v>
      </c>
      <c r="C92" s="5" t="s">
        <v>130</v>
      </c>
      <c r="D92" s="2" t="s">
        <v>124</v>
      </c>
      <c r="E92" s="53">
        <f t="shared" si="5"/>
        <v>-89.99993155815174</v>
      </c>
      <c r="F92" s="53">
        <f t="shared" si="6"/>
        <v>0</v>
      </c>
      <c r="G92" s="53">
        <f t="shared" si="7"/>
        <v>-89.99993155815174</v>
      </c>
      <c r="H92" s="53">
        <f t="shared" si="8"/>
        <v>0</v>
      </c>
    </row>
    <row r="93" spans="1:8" ht="12" customHeight="1">
      <c r="A93" s="82"/>
      <c r="B93" s="4" t="s">
        <v>24</v>
      </c>
      <c r="C93" s="5" t="s">
        <v>130</v>
      </c>
      <c r="D93" s="2" t="s">
        <v>124</v>
      </c>
      <c r="E93" s="53">
        <f t="shared" si="5"/>
        <v>-120.50890383046757</v>
      </c>
      <c r="F93" s="53">
        <f t="shared" si="6"/>
        <v>0</v>
      </c>
      <c r="G93" s="53">
        <f t="shared" si="7"/>
        <v>-120.50890383046757</v>
      </c>
      <c r="H93" s="53">
        <f t="shared" si="8"/>
        <v>0</v>
      </c>
    </row>
    <row r="94" spans="1:8" ht="12" customHeight="1">
      <c r="A94" s="82"/>
      <c r="B94" s="4" t="s">
        <v>25</v>
      </c>
      <c r="C94" s="5" t="s">
        <v>130</v>
      </c>
      <c r="D94" s="2" t="s">
        <v>124</v>
      </c>
      <c r="E94" s="53">
        <f t="shared" si="5"/>
        <v>-136.6861030817864</v>
      </c>
      <c r="F94" s="53">
        <f t="shared" si="6"/>
        <v>0</v>
      </c>
      <c r="G94" s="53">
        <f t="shared" si="7"/>
        <v>-136.6861030817864</v>
      </c>
      <c r="H94" s="53">
        <f t="shared" si="8"/>
        <v>0</v>
      </c>
    </row>
    <row r="95" spans="1:8" ht="12" customHeight="1">
      <c r="A95" s="82"/>
      <c r="B95" s="4" t="s">
        <v>26</v>
      </c>
      <c r="C95" s="5" t="s">
        <v>130</v>
      </c>
      <c r="D95" s="2" t="s">
        <v>124</v>
      </c>
      <c r="E95" s="53">
        <f t="shared" si="5"/>
        <v>-146.04226354701763</v>
      </c>
      <c r="F95" s="53">
        <f t="shared" si="6"/>
        <v>0</v>
      </c>
      <c r="G95" s="53">
        <f t="shared" si="7"/>
        <v>-146.04226354701763</v>
      </c>
      <c r="H95" s="53">
        <f t="shared" si="8"/>
        <v>0</v>
      </c>
    </row>
    <row r="96" spans="1:8" ht="12" customHeight="1">
      <c r="A96" s="82"/>
      <c r="B96" s="4" t="s">
        <v>27</v>
      </c>
      <c r="C96" s="5" t="s">
        <v>130</v>
      </c>
      <c r="D96" s="2" t="s">
        <v>124</v>
      </c>
      <c r="E96" s="53">
        <f t="shared" si="5"/>
        <v>-156.25156202952564</v>
      </c>
      <c r="F96" s="53">
        <f t="shared" si="6"/>
        <v>0</v>
      </c>
      <c r="G96" s="53">
        <f t="shared" si="7"/>
        <v>-156.25156202952564</v>
      </c>
      <c r="H96" s="53">
        <f t="shared" si="8"/>
        <v>0</v>
      </c>
    </row>
    <row r="97" spans="1:8" ht="12" customHeight="1">
      <c r="A97" s="82"/>
      <c r="B97" s="4" t="s">
        <v>28</v>
      </c>
      <c r="C97" s="5" t="s">
        <v>130</v>
      </c>
      <c r="D97" s="2" t="s">
        <v>124</v>
      </c>
      <c r="E97" s="53">
        <f t="shared" si="5"/>
        <v>-163.58354541324474</v>
      </c>
      <c r="F97" s="53">
        <f t="shared" si="6"/>
        <v>0</v>
      </c>
      <c r="G97" s="53">
        <f t="shared" si="7"/>
        <v>-163.58354541324474</v>
      </c>
      <c r="H97" s="53">
        <f t="shared" si="8"/>
        <v>0</v>
      </c>
    </row>
    <row r="98" spans="1:8" ht="12" customHeight="1">
      <c r="A98" s="82"/>
      <c r="B98" s="4" t="s">
        <v>29</v>
      </c>
      <c r="C98" s="5" t="s">
        <v>130</v>
      </c>
      <c r="D98" s="2" t="s">
        <v>124</v>
      </c>
      <c r="E98" s="53">
        <f t="shared" si="5"/>
        <v>-169.13286388444337</v>
      </c>
      <c r="F98" s="53">
        <f t="shared" si="6"/>
        <v>0</v>
      </c>
      <c r="G98" s="53">
        <f t="shared" si="7"/>
        <v>-169.13286388444337</v>
      </c>
      <c r="H98" s="53">
        <f t="shared" si="8"/>
        <v>0</v>
      </c>
    </row>
    <row r="99" spans="1:8" ht="12" customHeight="1">
      <c r="A99" s="83"/>
      <c r="B99" s="4" t="s">
        <v>30</v>
      </c>
      <c r="C99" s="5" t="s">
        <v>130</v>
      </c>
      <c r="D99" s="2" t="s">
        <v>124</v>
      </c>
      <c r="E99" s="53">
        <f t="shared" si="5"/>
        <v>-171.87029995857313</v>
      </c>
      <c r="F99" s="53">
        <f t="shared" si="6"/>
        <v>0</v>
      </c>
      <c r="G99" s="53">
        <f t="shared" si="7"/>
        <v>-171.87029995857313</v>
      </c>
      <c r="H99" s="53">
        <f t="shared" si="8"/>
        <v>0</v>
      </c>
    </row>
    <row r="100" spans="1:8" ht="12" customHeight="1">
      <c r="A100" s="81" t="s">
        <v>202</v>
      </c>
      <c r="B100" s="4">
        <v>20</v>
      </c>
      <c r="C100" s="5" t="s">
        <v>130</v>
      </c>
      <c r="D100" s="2" t="s">
        <v>201</v>
      </c>
      <c r="E100" s="6">
        <f aca="true" t="shared" si="9" ref="E100:E121">IF(E$24="","",2*3.14159*$B100*E$24*0.001)</f>
        <v>0.08485274207028008</v>
      </c>
      <c r="F100" s="6">
        <f aca="true" t="shared" si="10" ref="F100:H121">IF(F$22="","",2*3.14159*$B100*F$22*0.001)</f>
      </c>
      <c r="G100" s="6">
        <f t="shared" si="10"/>
        <v>0.08485274207028008</v>
      </c>
      <c r="H100" s="6">
        <f t="shared" si="10"/>
      </c>
    </row>
    <row r="101" spans="1:8" ht="12" customHeight="1">
      <c r="A101" s="82"/>
      <c r="B101" s="4">
        <v>30</v>
      </c>
      <c r="C101" s="5" t="s">
        <v>130</v>
      </c>
      <c r="D101" s="2" t="s">
        <v>201</v>
      </c>
      <c r="E101" s="6">
        <f t="shared" si="9"/>
        <v>0.12727911310542012</v>
      </c>
      <c r="F101" s="6">
        <f t="shared" si="10"/>
      </c>
      <c r="G101" s="6">
        <f t="shared" si="10"/>
        <v>0.12727911310542012</v>
      </c>
      <c r="H101" s="6">
        <f t="shared" si="10"/>
      </c>
    </row>
    <row r="102" spans="1:8" ht="12" customHeight="1">
      <c r="A102" s="82"/>
      <c r="B102" s="4">
        <v>40</v>
      </c>
      <c r="C102" s="5" t="s">
        <v>130</v>
      </c>
      <c r="D102" s="2" t="s">
        <v>201</v>
      </c>
      <c r="E102" s="6">
        <f t="shared" si="9"/>
        <v>0.16970548414056016</v>
      </c>
      <c r="F102" s="6">
        <f t="shared" si="10"/>
      </c>
      <c r="G102" s="6">
        <f t="shared" si="10"/>
        <v>0.16970548414056016</v>
      </c>
      <c r="H102" s="6">
        <f t="shared" si="10"/>
      </c>
    </row>
    <row r="103" spans="1:8" ht="12" customHeight="1">
      <c r="A103" s="82"/>
      <c r="B103" s="4">
        <v>50</v>
      </c>
      <c r="C103" s="5" t="s">
        <v>130</v>
      </c>
      <c r="D103" s="2" t="s">
        <v>201</v>
      </c>
      <c r="E103" s="6">
        <f t="shared" si="9"/>
        <v>0.21213185517570024</v>
      </c>
      <c r="F103" s="6">
        <f t="shared" si="10"/>
      </c>
      <c r="G103" s="6">
        <f t="shared" si="10"/>
        <v>0.21213185517570024</v>
      </c>
      <c r="H103" s="6">
        <f t="shared" si="10"/>
      </c>
    </row>
    <row r="104" spans="1:8" ht="12" customHeight="1">
      <c r="A104" s="82"/>
      <c r="B104" s="4">
        <v>70</v>
      </c>
      <c r="C104" s="5" t="s">
        <v>130</v>
      </c>
      <c r="D104" s="2" t="s">
        <v>201</v>
      </c>
      <c r="E104" s="6">
        <f t="shared" si="9"/>
        <v>0.2969845972459803</v>
      </c>
      <c r="F104" s="6">
        <f t="shared" si="10"/>
      </c>
      <c r="G104" s="6">
        <f t="shared" si="10"/>
        <v>0.2969845972459803</v>
      </c>
      <c r="H104" s="6">
        <f t="shared" si="10"/>
      </c>
    </row>
    <row r="105" spans="1:8" ht="12" customHeight="1">
      <c r="A105" s="82"/>
      <c r="B105" s="4">
        <v>100</v>
      </c>
      <c r="C105" s="5" t="s">
        <v>130</v>
      </c>
      <c r="D105" s="2" t="s">
        <v>201</v>
      </c>
      <c r="E105" s="6">
        <f t="shared" si="9"/>
        <v>0.4242637103514005</v>
      </c>
      <c r="F105" s="6">
        <f t="shared" si="10"/>
      </c>
      <c r="G105" s="6">
        <f t="shared" si="10"/>
        <v>0.4242637103514005</v>
      </c>
      <c r="H105" s="6">
        <f t="shared" si="10"/>
      </c>
    </row>
    <row r="106" spans="1:8" ht="12" customHeight="1">
      <c r="A106" s="82"/>
      <c r="B106" s="4">
        <v>150</v>
      </c>
      <c r="C106" s="5" t="s">
        <v>130</v>
      </c>
      <c r="D106" s="2" t="s">
        <v>201</v>
      </c>
      <c r="E106" s="6">
        <f t="shared" si="9"/>
        <v>0.6363955655271006</v>
      </c>
      <c r="F106" s="6">
        <f t="shared" si="10"/>
      </c>
      <c r="G106" s="6">
        <f t="shared" si="10"/>
        <v>0.6363955655271006</v>
      </c>
      <c r="H106" s="6">
        <f t="shared" si="10"/>
      </c>
    </row>
    <row r="107" spans="1:8" ht="12" customHeight="1">
      <c r="A107" s="82"/>
      <c r="B107" s="4">
        <v>200</v>
      </c>
      <c r="C107" s="5" t="s">
        <v>130</v>
      </c>
      <c r="D107" s="2" t="s">
        <v>201</v>
      </c>
      <c r="E107" s="6">
        <f t="shared" si="9"/>
        <v>0.848527420702801</v>
      </c>
      <c r="F107" s="6">
        <f t="shared" si="10"/>
      </c>
      <c r="G107" s="6">
        <f t="shared" si="10"/>
        <v>0.848527420702801</v>
      </c>
      <c r="H107" s="6">
        <f t="shared" si="10"/>
      </c>
    </row>
    <row r="108" spans="1:8" ht="12" customHeight="1">
      <c r="A108" s="82"/>
      <c r="B108" s="4">
        <v>300</v>
      </c>
      <c r="C108" s="5" t="s">
        <v>130</v>
      </c>
      <c r="D108" s="2" t="s">
        <v>201</v>
      </c>
      <c r="E108" s="6">
        <f t="shared" si="9"/>
        <v>1.2727911310542013</v>
      </c>
      <c r="F108" s="6">
        <f t="shared" si="10"/>
      </c>
      <c r="G108" s="6">
        <f t="shared" si="10"/>
        <v>1.2727911310542013</v>
      </c>
      <c r="H108" s="6">
        <f t="shared" si="10"/>
      </c>
    </row>
    <row r="109" spans="1:8" ht="12" customHeight="1">
      <c r="A109" s="82"/>
      <c r="B109" s="4">
        <v>400</v>
      </c>
      <c r="C109" s="5" t="s">
        <v>130</v>
      </c>
      <c r="D109" s="2" t="s">
        <v>201</v>
      </c>
      <c r="E109" s="6">
        <f t="shared" si="9"/>
        <v>1.697054841405602</v>
      </c>
      <c r="F109" s="6">
        <f t="shared" si="10"/>
      </c>
      <c r="G109" s="6">
        <f t="shared" si="10"/>
        <v>1.697054841405602</v>
      </c>
      <c r="H109" s="6">
        <f t="shared" si="10"/>
      </c>
    </row>
    <row r="110" spans="1:8" ht="12" customHeight="1">
      <c r="A110" s="82"/>
      <c r="B110" s="4">
        <v>500</v>
      </c>
      <c r="C110" s="5" t="s">
        <v>130</v>
      </c>
      <c r="D110" s="2" t="s">
        <v>201</v>
      </c>
      <c r="E110" s="6">
        <f t="shared" si="9"/>
        <v>2.121318551757002</v>
      </c>
      <c r="F110" s="6">
        <f t="shared" si="10"/>
      </c>
      <c r="G110" s="6">
        <f t="shared" si="10"/>
        <v>2.121318551757002</v>
      </c>
      <c r="H110" s="6">
        <f t="shared" si="10"/>
      </c>
    </row>
    <row r="111" spans="1:8" ht="12" customHeight="1">
      <c r="A111" s="82"/>
      <c r="B111" s="4">
        <v>700</v>
      </c>
      <c r="C111" s="5" t="s">
        <v>130</v>
      </c>
      <c r="D111" s="2" t="s">
        <v>201</v>
      </c>
      <c r="E111" s="6">
        <f t="shared" si="9"/>
        <v>2.9698459724598028</v>
      </c>
      <c r="F111" s="6">
        <f t="shared" si="10"/>
      </c>
      <c r="G111" s="6">
        <f t="shared" si="10"/>
        <v>2.9698459724598028</v>
      </c>
      <c r="H111" s="6">
        <f t="shared" si="10"/>
      </c>
    </row>
    <row r="112" spans="1:8" ht="12" customHeight="1">
      <c r="A112" s="82"/>
      <c r="B112" s="4">
        <v>1000</v>
      </c>
      <c r="C112" s="5" t="s">
        <v>130</v>
      </c>
      <c r="D112" s="2" t="s">
        <v>201</v>
      </c>
      <c r="E112" s="6">
        <f t="shared" si="9"/>
        <v>4.242637103514004</v>
      </c>
      <c r="F112" s="6">
        <f t="shared" si="10"/>
      </c>
      <c r="G112" s="6">
        <f t="shared" si="10"/>
        <v>4.242637103514004</v>
      </c>
      <c r="H112" s="6">
        <f t="shared" si="10"/>
      </c>
    </row>
    <row r="113" spans="1:8" ht="12" customHeight="1">
      <c r="A113" s="82"/>
      <c r="B113" s="4">
        <v>1500</v>
      </c>
      <c r="C113" s="5" t="s">
        <v>130</v>
      </c>
      <c r="D113" s="2" t="s">
        <v>201</v>
      </c>
      <c r="E113" s="6">
        <f t="shared" si="9"/>
        <v>6.363955655271006</v>
      </c>
      <c r="F113" s="6">
        <f t="shared" si="10"/>
      </c>
      <c r="G113" s="6">
        <f t="shared" si="10"/>
        <v>6.363955655271006</v>
      </c>
      <c r="H113" s="6">
        <f t="shared" si="10"/>
      </c>
    </row>
    <row r="114" spans="1:8" ht="12" customHeight="1">
      <c r="A114" s="82"/>
      <c r="B114" s="4">
        <v>2000</v>
      </c>
      <c r="C114" s="5" t="s">
        <v>130</v>
      </c>
      <c r="D114" s="2" t="s">
        <v>201</v>
      </c>
      <c r="E114" s="6">
        <f t="shared" si="9"/>
        <v>8.485274207028008</v>
      </c>
      <c r="F114" s="6">
        <f t="shared" si="10"/>
      </c>
      <c r="G114" s="6">
        <f t="shared" si="10"/>
        <v>8.485274207028008</v>
      </c>
      <c r="H114" s="6">
        <f t="shared" si="10"/>
      </c>
    </row>
    <row r="115" spans="1:8" ht="12" customHeight="1">
      <c r="A115" s="82"/>
      <c r="B115" s="4">
        <v>3000</v>
      </c>
      <c r="C115" s="5" t="s">
        <v>130</v>
      </c>
      <c r="D115" s="2" t="s">
        <v>201</v>
      </c>
      <c r="E115" s="6">
        <f t="shared" si="9"/>
        <v>12.727911310542012</v>
      </c>
      <c r="F115" s="6">
        <f t="shared" si="10"/>
      </c>
      <c r="G115" s="6">
        <f t="shared" si="10"/>
        <v>12.727911310542012</v>
      </c>
      <c r="H115" s="6">
        <f t="shared" si="10"/>
      </c>
    </row>
    <row r="116" spans="1:8" ht="12" customHeight="1">
      <c r="A116" s="82"/>
      <c r="B116" s="4">
        <v>4000</v>
      </c>
      <c r="C116" s="5" t="s">
        <v>130</v>
      </c>
      <c r="D116" s="2" t="s">
        <v>201</v>
      </c>
      <c r="E116" s="6">
        <f t="shared" si="9"/>
        <v>16.970548414056015</v>
      </c>
      <c r="F116" s="6">
        <f t="shared" si="10"/>
      </c>
      <c r="G116" s="6">
        <f t="shared" si="10"/>
        <v>16.970548414056015</v>
      </c>
      <c r="H116" s="6">
        <f t="shared" si="10"/>
      </c>
    </row>
    <row r="117" spans="1:8" ht="12" customHeight="1">
      <c r="A117" s="82"/>
      <c r="B117" s="4">
        <v>5000</v>
      </c>
      <c r="C117" s="5" t="s">
        <v>130</v>
      </c>
      <c r="D117" s="2" t="s">
        <v>201</v>
      </c>
      <c r="E117" s="6">
        <f t="shared" si="9"/>
        <v>21.21318551757002</v>
      </c>
      <c r="F117" s="6">
        <f t="shared" si="10"/>
      </c>
      <c r="G117" s="6">
        <f t="shared" si="10"/>
        <v>21.21318551757002</v>
      </c>
      <c r="H117" s="6">
        <f t="shared" si="10"/>
      </c>
    </row>
    <row r="118" spans="1:8" ht="12" customHeight="1">
      <c r="A118" s="82"/>
      <c r="B118" s="4">
        <v>7000</v>
      </c>
      <c r="C118" s="5" t="s">
        <v>130</v>
      </c>
      <c r="D118" s="2" t="s">
        <v>201</v>
      </c>
      <c r="E118" s="6">
        <f t="shared" si="9"/>
        <v>29.698459724598028</v>
      </c>
      <c r="F118" s="6">
        <f t="shared" si="10"/>
      </c>
      <c r="G118" s="6">
        <f t="shared" si="10"/>
        <v>29.698459724598028</v>
      </c>
      <c r="H118" s="6">
        <f t="shared" si="10"/>
      </c>
    </row>
    <row r="119" spans="1:8" ht="12" customHeight="1">
      <c r="A119" s="82"/>
      <c r="B119" s="4">
        <v>10000</v>
      </c>
      <c r="C119" s="5" t="s">
        <v>130</v>
      </c>
      <c r="D119" s="2" t="s">
        <v>201</v>
      </c>
      <c r="E119" s="6">
        <f t="shared" si="9"/>
        <v>42.42637103514004</v>
      </c>
      <c r="F119" s="6">
        <f t="shared" si="10"/>
      </c>
      <c r="G119" s="6">
        <f t="shared" si="10"/>
        <v>42.42637103514004</v>
      </c>
      <c r="H119" s="6">
        <f t="shared" si="10"/>
      </c>
    </row>
    <row r="120" spans="1:8" ht="12" customHeight="1">
      <c r="A120" s="82"/>
      <c r="B120" s="4">
        <v>15000</v>
      </c>
      <c r="C120" s="5" t="s">
        <v>130</v>
      </c>
      <c r="D120" s="2" t="s">
        <v>201</v>
      </c>
      <c r="E120" s="6">
        <f t="shared" si="9"/>
        <v>63.63955655271006</v>
      </c>
      <c r="F120" s="6">
        <f t="shared" si="10"/>
      </c>
      <c r="G120" s="6">
        <f t="shared" si="10"/>
        <v>63.63955655271006</v>
      </c>
      <c r="H120" s="6">
        <f t="shared" si="10"/>
      </c>
    </row>
    <row r="121" spans="1:8" ht="12" customHeight="1">
      <c r="A121" s="83"/>
      <c r="B121" s="4">
        <v>20000</v>
      </c>
      <c r="C121" s="5" t="s">
        <v>130</v>
      </c>
      <c r="D121" s="2" t="s">
        <v>201</v>
      </c>
      <c r="E121" s="6">
        <f t="shared" si="9"/>
        <v>84.85274207028009</v>
      </c>
      <c r="F121" s="6">
        <f t="shared" si="10"/>
      </c>
      <c r="G121" s="6">
        <f t="shared" si="10"/>
        <v>84.85274207028009</v>
      </c>
      <c r="H121" s="6">
        <f t="shared" si="10"/>
      </c>
    </row>
    <row r="122" spans="1:8" ht="12" customHeight="1">
      <c r="A122" s="81" t="s">
        <v>203</v>
      </c>
      <c r="B122" s="4">
        <v>20</v>
      </c>
      <c r="C122" s="5" t="s">
        <v>130</v>
      </c>
      <c r="D122" s="2" t="s">
        <v>201</v>
      </c>
      <c r="E122" s="6">
        <f aca="true" t="shared" si="11" ref="E122:E143">IF(E$25="","",1/(2*3.14159*$B100*E$25/1000000))</f>
        <v>848.5288541455186</v>
      </c>
      <c r="F122" s="6">
        <f aca="true" t="shared" si="12" ref="F122:H143">IF(F$23="","",1/(2*3.14159*$B100*F$23/1000000))</f>
      </c>
      <c r="G122" s="6">
        <f t="shared" si="12"/>
        <v>848.5288541455186</v>
      </c>
      <c r="H122" s="6">
        <f t="shared" si="12"/>
      </c>
    </row>
    <row r="123" spans="1:8" ht="12" customHeight="1">
      <c r="A123" s="82"/>
      <c r="B123" s="4">
        <v>30</v>
      </c>
      <c r="C123" s="5" t="s">
        <v>130</v>
      </c>
      <c r="D123" s="2" t="s">
        <v>201</v>
      </c>
      <c r="E123" s="6">
        <f t="shared" si="11"/>
        <v>565.685902763679</v>
      </c>
      <c r="F123" s="6">
        <f t="shared" si="12"/>
      </c>
      <c r="G123" s="6">
        <f t="shared" si="12"/>
        <v>565.685902763679</v>
      </c>
      <c r="H123" s="6">
        <f t="shared" si="12"/>
      </c>
    </row>
    <row r="124" spans="1:8" ht="12" customHeight="1">
      <c r="A124" s="82"/>
      <c r="B124" s="4">
        <v>40</v>
      </c>
      <c r="C124" s="5" t="s">
        <v>130</v>
      </c>
      <c r="D124" s="2" t="s">
        <v>201</v>
      </c>
      <c r="E124" s="6">
        <f t="shared" si="11"/>
        <v>424.2644270727593</v>
      </c>
      <c r="F124" s="6">
        <f t="shared" si="12"/>
      </c>
      <c r="G124" s="6">
        <f t="shared" si="12"/>
        <v>424.2644270727593</v>
      </c>
      <c r="H124" s="6">
        <f t="shared" si="12"/>
      </c>
    </row>
    <row r="125" spans="1:8" ht="12" customHeight="1">
      <c r="A125" s="82"/>
      <c r="B125" s="4">
        <v>50</v>
      </c>
      <c r="C125" s="5" t="s">
        <v>130</v>
      </c>
      <c r="D125" s="2" t="s">
        <v>201</v>
      </c>
      <c r="E125" s="6">
        <f t="shared" si="11"/>
        <v>339.41154165820745</v>
      </c>
      <c r="F125" s="6">
        <f t="shared" si="12"/>
      </c>
      <c r="G125" s="6">
        <f t="shared" si="12"/>
        <v>339.41154165820745</v>
      </c>
      <c r="H125" s="6">
        <f t="shared" si="12"/>
      </c>
    </row>
    <row r="126" spans="1:8" ht="12" customHeight="1">
      <c r="A126" s="82"/>
      <c r="B126" s="4">
        <v>70</v>
      </c>
      <c r="C126" s="5" t="s">
        <v>130</v>
      </c>
      <c r="D126" s="2" t="s">
        <v>201</v>
      </c>
      <c r="E126" s="6">
        <f t="shared" si="11"/>
        <v>242.4368154701482</v>
      </c>
      <c r="F126" s="6">
        <f t="shared" si="12"/>
      </c>
      <c r="G126" s="6">
        <f t="shared" si="12"/>
        <v>242.4368154701482</v>
      </c>
      <c r="H126" s="6">
        <f t="shared" si="12"/>
      </c>
    </row>
    <row r="127" spans="1:8" ht="12" customHeight="1">
      <c r="A127" s="82"/>
      <c r="B127" s="4">
        <v>100</v>
      </c>
      <c r="C127" s="5" t="s">
        <v>130</v>
      </c>
      <c r="D127" s="2" t="s">
        <v>201</v>
      </c>
      <c r="E127" s="6">
        <f t="shared" si="11"/>
        <v>169.70577082910373</v>
      </c>
      <c r="F127" s="6">
        <f t="shared" si="12"/>
      </c>
      <c r="G127" s="6">
        <f t="shared" si="12"/>
        <v>169.70577082910373</v>
      </c>
      <c r="H127" s="6">
        <f t="shared" si="12"/>
      </c>
    </row>
    <row r="128" spans="1:8" ht="12" customHeight="1">
      <c r="A128" s="82"/>
      <c r="B128" s="4">
        <v>150</v>
      </c>
      <c r="C128" s="5" t="s">
        <v>130</v>
      </c>
      <c r="D128" s="2" t="s">
        <v>201</v>
      </c>
      <c r="E128" s="6">
        <f t="shared" si="11"/>
        <v>113.13718055273581</v>
      </c>
      <c r="F128" s="6">
        <f t="shared" si="12"/>
      </c>
      <c r="G128" s="6">
        <f t="shared" si="12"/>
        <v>113.13718055273581</v>
      </c>
      <c r="H128" s="6">
        <f t="shared" si="12"/>
      </c>
    </row>
    <row r="129" spans="1:8" ht="12" customHeight="1">
      <c r="A129" s="82"/>
      <c r="B129" s="4">
        <v>200</v>
      </c>
      <c r="C129" s="5" t="s">
        <v>130</v>
      </c>
      <c r="D129" s="2" t="s">
        <v>201</v>
      </c>
      <c r="E129" s="6">
        <f t="shared" si="11"/>
        <v>84.85288541455186</v>
      </c>
      <c r="F129" s="6">
        <f t="shared" si="12"/>
      </c>
      <c r="G129" s="6">
        <f t="shared" si="12"/>
        <v>84.85288541455186</v>
      </c>
      <c r="H129" s="6">
        <f t="shared" si="12"/>
      </c>
    </row>
    <row r="130" spans="1:8" ht="12" customHeight="1">
      <c r="A130" s="82"/>
      <c r="B130" s="4">
        <v>300</v>
      </c>
      <c r="C130" s="5" t="s">
        <v>130</v>
      </c>
      <c r="D130" s="2" t="s">
        <v>201</v>
      </c>
      <c r="E130" s="6">
        <f t="shared" si="11"/>
        <v>56.56859027636791</v>
      </c>
      <c r="F130" s="6">
        <f t="shared" si="12"/>
      </c>
      <c r="G130" s="6">
        <f t="shared" si="12"/>
        <v>56.56859027636791</v>
      </c>
      <c r="H130" s="6">
        <f t="shared" si="12"/>
      </c>
    </row>
    <row r="131" spans="1:8" ht="12" customHeight="1">
      <c r="A131" s="82"/>
      <c r="B131" s="4">
        <v>400</v>
      </c>
      <c r="C131" s="5" t="s">
        <v>130</v>
      </c>
      <c r="D131" s="2" t="s">
        <v>201</v>
      </c>
      <c r="E131" s="6">
        <f t="shared" si="11"/>
        <v>42.42644270727593</v>
      </c>
      <c r="F131" s="6">
        <f t="shared" si="12"/>
      </c>
      <c r="G131" s="6">
        <f t="shared" si="12"/>
        <v>42.42644270727593</v>
      </c>
      <c r="H131" s="6">
        <f t="shared" si="12"/>
      </c>
    </row>
    <row r="132" spans="1:8" ht="12" customHeight="1">
      <c r="A132" s="82"/>
      <c r="B132" s="4">
        <v>500</v>
      </c>
      <c r="C132" s="5" t="s">
        <v>130</v>
      </c>
      <c r="D132" s="2" t="s">
        <v>201</v>
      </c>
      <c r="E132" s="6">
        <f t="shared" si="11"/>
        <v>33.94115416582075</v>
      </c>
      <c r="F132" s="6">
        <f t="shared" si="12"/>
      </c>
      <c r="G132" s="6">
        <f t="shared" si="12"/>
        <v>33.94115416582075</v>
      </c>
      <c r="H132" s="6">
        <f t="shared" si="12"/>
      </c>
    </row>
    <row r="133" spans="1:8" ht="12" customHeight="1">
      <c r="A133" s="82"/>
      <c r="B133" s="4">
        <v>700</v>
      </c>
      <c r="C133" s="5" t="s">
        <v>130</v>
      </c>
      <c r="D133" s="2" t="s">
        <v>201</v>
      </c>
      <c r="E133" s="6">
        <f t="shared" si="11"/>
        <v>24.24368154701482</v>
      </c>
      <c r="F133" s="6">
        <f t="shared" si="12"/>
      </c>
      <c r="G133" s="6">
        <f t="shared" si="12"/>
        <v>24.24368154701482</v>
      </c>
      <c r="H133" s="6">
        <f t="shared" si="12"/>
      </c>
    </row>
    <row r="134" spans="1:8" ht="12" customHeight="1">
      <c r="A134" s="82"/>
      <c r="B134" s="4" t="s">
        <v>53</v>
      </c>
      <c r="C134" s="5" t="s">
        <v>130</v>
      </c>
      <c r="D134" s="2" t="s">
        <v>201</v>
      </c>
      <c r="E134" s="6">
        <f t="shared" si="11"/>
        <v>16.970577082910374</v>
      </c>
      <c r="F134" s="6">
        <f t="shared" si="12"/>
      </c>
      <c r="G134" s="6">
        <f t="shared" si="12"/>
        <v>16.970577082910374</v>
      </c>
      <c r="H134" s="6">
        <f t="shared" si="12"/>
      </c>
    </row>
    <row r="135" spans="1:8" ht="12" customHeight="1">
      <c r="A135" s="82"/>
      <c r="B135" s="4" t="s">
        <v>54</v>
      </c>
      <c r="C135" s="5" t="s">
        <v>130</v>
      </c>
      <c r="D135" s="2" t="s">
        <v>201</v>
      </c>
      <c r="E135" s="6">
        <f t="shared" si="11"/>
        <v>11.31371805527358</v>
      </c>
      <c r="F135" s="6">
        <f t="shared" si="12"/>
      </c>
      <c r="G135" s="6">
        <f t="shared" si="12"/>
        <v>11.31371805527358</v>
      </c>
      <c r="H135" s="6">
        <f t="shared" si="12"/>
      </c>
    </row>
    <row r="136" spans="1:8" ht="12" customHeight="1">
      <c r="A136" s="82"/>
      <c r="B136" s="4" t="s">
        <v>55</v>
      </c>
      <c r="C136" s="5" t="s">
        <v>130</v>
      </c>
      <c r="D136" s="2" t="s">
        <v>201</v>
      </c>
      <c r="E136" s="6">
        <f t="shared" si="11"/>
        <v>8.485288541455187</v>
      </c>
      <c r="F136" s="6">
        <f t="shared" si="12"/>
      </c>
      <c r="G136" s="6">
        <f t="shared" si="12"/>
        <v>8.485288541455187</v>
      </c>
      <c r="H136" s="6">
        <f t="shared" si="12"/>
      </c>
    </row>
    <row r="137" spans="1:8" ht="12" customHeight="1">
      <c r="A137" s="82"/>
      <c r="B137" s="4" t="s">
        <v>56</v>
      </c>
      <c r="C137" s="5" t="s">
        <v>130</v>
      </c>
      <c r="D137" s="2" t="s">
        <v>201</v>
      </c>
      <c r="E137" s="6">
        <f t="shared" si="11"/>
        <v>5.65685902763679</v>
      </c>
      <c r="F137" s="6">
        <f t="shared" si="12"/>
      </c>
      <c r="G137" s="6">
        <f t="shared" si="12"/>
        <v>5.65685902763679</v>
      </c>
      <c r="H137" s="6">
        <f t="shared" si="12"/>
      </c>
    </row>
    <row r="138" spans="1:8" ht="12" customHeight="1">
      <c r="A138" s="82"/>
      <c r="B138" s="4" t="s">
        <v>57</v>
      </c>
      <c r="C138" s="5" t="s">
        <v>130</v>
      </c>
      <c r="D138" s="2" t="s">
        <v>201</v>
      </c>
      <c r="E138" s="6">
        <f t="shared" si="11"/>
        <v>4.2426442707275935</v>
      </c>
      <c r="F138" s="6">
        <f t="shared" si="12"/>
      </c>
      <c r="G138" s="6">
        <f t="shared" si="12"/>
        <v>4.2426442707275935</v>
      </c>
      <c r="H138" s="6">
        <f t="shared" si="12"/>
      </c>
    </row>
    <row r="139" spans="1:8" ht="12" customHeight="1">
      <c r="A139" s="82"/>
      <c r="B139" s="4" t="s">
        <v>58</v>
      </c>
      <c r="C139" s="5" t="s">
        <v>130</v>
      </c>
      <c r="D139" s="2" t="s">
        <v>201</v>
      </c>
      <c r="E139" s="6">
        <f t="shared" si="11"/>
        <v>3.3941154165820744</v>
      </c>
      <c r="F139" s="6">
        <f t="shared" si="12"/>
      </c>
      <c r="G139" s="6">
        <f t="shared" si="12"/>
        <v>3.3941154165820744</v>
      </c>
      <c r="H139" s="6">
        <f t="shared" si="12"/>
      </c>
    </row>
    <row r="140" spans="1:8" ht="12" customHeight="1">
      <c r="A140" s="82"/>
      <c r="B140" s="4" t="s">
        <v>59</v>
      </c>
      <c r="C140" s="5" t="s">
        <v>130</v>
      </c>
      <c r="D140" s="2" t="s">
        <v>201</v>
      </c>
      <c r="E140" s="6">
        <f t="shared" si="11"/>
        <v>2.4243681547014817</v>
      </c>
      <c r="F140" s="6">
        <f t="shared" si="12"/>
      </c>
      <c r="G140" s="6">
        <f t="shared" si="12"/>
        <v>2.4243681547014817</v>
      </c>
      <c r="H140" s="6">
        <f t="shared" si="12"/>
      </c>
    </row>
    <row r="141" spans="1:8" ht="12" customHeight="1">
      <c r="A141" s="82"/>
      <c r="B141" s="4" t="s">
        <v>60</v>
      </c>
      <c r="C141" s="5" t="s">
        <v>130</v>
      </c>
      <c r="D141" s="2" t="s">
        <v>201</v>
      </c>
      <c r="E141" s="6">
        <f t="shared" si="11"/>
        <v>1.6970577082910372</v>
      </c>
      <c r="F141" s="6">
        <f t="shared" si="12"/>
      </c>
      <c r="G141" s="6">
        <f t="shared" si="12"/>
        <v>1.6970577082910372</v>
      </c>
      <c r="H141" s="6">
        <f t="shared" si="12"/>
      </c>
    </row>
    <row r="142" spans="1:8" ht="12" customHeight="1">
      <c r="A142" s="82"/>
      <c r="B142" s="4" t="s">
        <v>61</v>
      </c>
      <c r="C142" s="5" t="s">
        <v>130</v>
      </c>
      <c r="D142" s="2" t="s">
        <v>201</v>
      </c>
      <c r="E142" s="6">
        <f t="shared" si="11"/>
        <v>1.131371805527358</v>
      </c>
      <c r="F142" s="6">
        <f t="shared" si="12"/>
      </c>
      <c r="G142" s="6">
        <f t="shared" si="12"/>
        <v>1.131371805527358</v>
      </c>
      <c r="H142" s="6">
        <f t="shared" si="12"/>
      </c>
    </row>
    <row r="143" spans="1:8" ht="12" customHeight="1">
      <c r="A143" s="83"/>
      <c r="B143" s="4" t="s">
        <v>62</v>
      </c>
      <c r="C143" s="5" t="s">
        <v>130</v>
      </c>
      <c r="D143" s="2" t="s">
        <v>201</v>
      </c>
      <c r="E143" s="6">
        <f t="shared" si="11"/>
        <v>0.8485288541455186</v>
      </c>
      <c r="F143" s="6">
        <f t="shared" si="12"/>
      </c>
      <c r="G143" s="6">
        <f t="shared" si="12"/>
        <v>0.8485288541455186</v>
      </c>
      <c r="H143" s="6">
        <f t="shared" si="12"/>
      </c>
    </row>
    <row r="144" spans="1:8" ht="12" customHeight="1">
      <c r="A144" s="81" t="s">
        <v>204</v>
      </c>
      <c r="B144" s="4">
        <v>20</v>
      </c>
      <c r="C144" s="5" t="s">
        <v>130</v>
      </c>
      <c r="D144" s="2" t="s">
        <v>201</v>
      </c>
      <c r="E144" s="6">
        <f aca="true" t="shared" si="13" ref="E144:H165">IF(E$24="","",2*3.14159*$B100*E$24*0.001)</f>
        <v>0.08485274207028008</v>
      </c>
      <c r="F144" s="6">
        <f t="shared" si="13"/>
      </c>
      <c r="G144" s="6">
        <f t="shared" si="13"/>
      </c>
      <c r="H144" s="6">
        <f t="shared" si="13"/>
      </c>
    </row>
    <row r="145" spans="1:8" ht="12" customHeight="1">
      <c r="A145" s="82"/>
      <c r="B145" s="4">
        <v>30</v>
      </c>
      <c r="C145" s="5" t="s">
        <v>130</v>
      </c>
      <c r="D145" s="2" t="s">
        <v>201</v>
      </c>
      <c r="E145" s="6">
        <f t="shared" si="13"/>
        <v>0.12727911310542012</v>
      </c>
      <c r="F145" s="6">
        <f t="shared" si="13"/>
      </c>
      <c r="G145" s="6">
        <f t="shared" si="13"/>
      </c>
      <c r="H145" s="6">
        <f t="shared" si="13"/>
      </c>
    </row>
    <row r="146" spans="1:8" ht="12" customHeight="1">
      <c r="A146" s="82"/>
      <c r="B146" s="4">
        <v>40</v>
      </c>
      <c r="C146" s="5" t="s">
        <v>130</v>
      </c>
      <c r="D146" s="2" t="s">
        <v>201</v>
      </c>
      <c r="E146" s="6">
        <f t="shared" si="13"/>
        <v>0.16970548414056016</v>
      </c>
      <c r="F146" s="6">
        <f t="shared" si="13"/>
      </c>
      <c r="G146" s="6">
        <f t="shared" si="13"/>
      </c>
      <c r="H146" s="6">
        <f t="shared" si="13"/>
      </c>
    </row>
    <row r="147" spans="1:8" ht="12" customHeight="1">
      <c r="A147" s="82"/>
      <c r="B147" s="4">
        <v>50</v>
      </c>
      <c r="C147" s="5" t="s">
        <v>130</v>
      </c>
      <c r="D147" s="2" t="s">
        <v>201</v>
      </c>
      <c r="E147" s="6">
        <f t="shared" si="13"/>
        <v>0.21213185517570024</v>
      </c>
      <c r="F147" s="6">
        <f t="shared" si="13"/>
      </c>
      <c r="G147" s="6">
        <f t="shared" si="13"/>
      </c>
      <c r="H147" s="6">
        <f t="shared" si="13"/>
      </c>
    </row>
    <row r="148" spans="1:8" ht="12" customHeight="1">
      <c r="A148" s="82"/>
      <c r="B148" s="4">
        <v>70</v>
      </c>
      <c r="C148" s="5" t="s">
        <v>130</v>
      </c>
      <c r="D148" s="2" t="s">
        <v>201</v>
      </c>
      <c r="E148" s="6">
        <f t="shared" si="13"/>
        <v>0.2969845972459803</v>
      </c>
      <c r="F148" s="6">
        <f t="shared" si="13"/>
      </c>
      <c r="G148" s="6">
        <f t="shared" si="13"/>
      </c>
      <c r="H148" s="6">
        <f t="shared" si="13"/>
      </c>
    </row>
    <row r="149" spans="1:8" ht="12" customHeight="1">
      <c r="A149" s="82"/>
      <c r="B149" s="4">
        <v>100</v>
      </c>
      <c r="C149" s="5" t="s">
        <v>130</v>
      </c>
      <c r="D149" s="2" t="s">
        <v>201</v>
      </c>
      <c r="E149" s="6">
        <f t="shared" si="13"/>
        <v>0.4242637103514005</v>
      </c>
      <c r="F149" s="6">
        <f t="shared" si="13"/>
      </c>
      <c r="G149" s="6">
        <f t="shared" si="13"/>
      </c>
      <c r="H149" s="6">
        <f t="shared" si="13"/>
      </c>
    </row>
    <row r="150" spans="1:8" ht="12" customHeight="1">
      <c r="A150" s="82"/>
      <c r="B150" s="4">
        <v>150</v>
      </c>
      <c r="C150" s="5" t="s">
        <v>130</v>
      </c>
      <c r="D150" s="2" t="s">
        <v>201</v>
      </c>
      <c r="E150" s="6">
        <f t="shared" si="13"/>
        <v>0.6363955655271006</v>
      </c>
      <c r="F150" s="6">
        <f t="shared" si="13"/>
      </c>
      <c r="G150" s="6">
        <f t="shared" si="13"/>
      </c>
      <c r="H150" s="6">
        <f t="shared" si="13"/>
      </c>
    </row>
    <row r="151" spans="1:8" ht="12" customHeight="1">
      <c r="A151" s="82"/>
      <c r="B151" s="4">
        <v>200</v>
      </c>
      <c r="C151" s="5" t="s">
        <v>130</v>
      </c>
      <c r="D151" s="2" t="s">
        <v>201</v>
      </c>
      <c r="E151" s="6">
        <f t="shared" si="13"/>
        <v>0.848527420702801</v>
      </c>
      <c r="F151" s="6">
        <f t="shared" si="13"/>
      </c>
      <c r="G151" s="6">
        <f t="shared" si="13"/>
      </c>
      <c r="H151" s="6">
        <f t="shared" si="13"/>
      </c>
    </row>
    <row r="152" spans="1:8" ht="12" customHeight="1">
      <c r="A152" s="82"/>
      <c r="B152" s="4">
        <v>300</v>
      </c>
      <c r="C152" s="5" t="s">
        <v>130</v>
      </c>
      <c r="D152" s="2" t="s">
        <v>201</v>
      </c>
      <c r="E152" s="6">
        <f t="shared" si="13"/>
        <v>1.2727911310542013</v>
      </c>
      <c r="F152" s="6">
        <f t="shared" si="13"/>
      </c>
      <c r="G152" s="6">
        <f t="shared" si="13"/>
      </c>
      <c r="H152" s="6">
        <f t="shared" si="13"/>
      </c>
    </row>
    <row r="153" spans="1:8" ht="12" customHeight="1">
      <c r="A153" s="82"/>
      <c r="B153" s="4">
        <v>400</v>
      </c>
      <c r="C153" s="5" t="s">
        <v>130</v>
      </c>
      <c r="D153" s="2" t="s">
        <v>201</v>
      </c>
      <c r="E153" s="6">
        <f t="shared" si="13"/>
        <v>1.697054841405602</v>
      </c>
      <c r="F153" s="6">
        <f t="shared" si="13"/>
      </c>
      <c r="G153" s="6">
        <f t="shared" si="13"/>
      </c>
      <c r="H153" s="6">
        <f t="shared" si="13"/>
      </c>
    </row>
    <row r="154" spans="1:8" ht="12" customHeight="1">
      <c r="A154" s="82"/>
      <c r="B154" s="4">
        <v>500</v>
      </c>
      <c r="C154" s="5" t="s">
        <v>130</v>
      </c>
      <c r="D154" s="2" t="s">
        <v>201</v>
      </c>
      <c r="E154" s="6">
        <f t="shared" si="13"/>
        <v>2.121318551757002</v>
      </c>
      <c r="F154" s="6">
        <f t="shared" si="13"/>
      </c>
      <c r="G154" s="6">
        <f t="shared" si="13"/>
      </c>
      <c r="H154" s="6">
        <f t="shared" si="13"/>
      </c>
    </row>
    <row r="155" spans="1:8" ht="12" customHeight="1">
      <c r="A155" s="82"/>
      <c r="B155" s="4">
        <v>700</v>
      </c>
      <c r="C155" s="5" t="s">
        <v>130</v>
      </c>
      <c r="D155" s="2" t="s">
        <v>201</v>
      </c>
      <c r="E155" s="6">
        <f t="shared" si="13"/>
        <v>2.9698459724598028</v>
      </c>
      <c r="F155" s="6">
        <f t="shared" si="13"/>
      </c>
      <c r="G155" s="6">
        <f t="shared" si="13"/>
      </c>
      <c r="H155" s="6">
        <f t="shared" si="13"/>
      </c>
    </row>
    <row r="156" spans="1:8" ht="12" customHeight="1">
      <c r="A156" s="82"/>
      <c r="B156" s="4" t="s">
        <v>53</v>
      </c>
      <c r="C156" s="5" t="s">
        <v>130</v>
      </c>
      <c r="D156" s="2" t="s">
        <v>201</v>
      </c>
      <c r="E156" s="6">
        <f t="shared" si="13"/>
        <v>4.242637103514004</v>
      </c>
      <c r="F156" s="6">
        <f t="shared" si="13"/>
      </c>
      <c r="G156" s="6">
        <f t="shared" si="13"/>
      </c>
      <c r="H156" s="6">
        <f t="shared" si="13"/>
      </c>
    </row>
    <row r="157" spans="1:8" ht="12" customHeight="1">
      <c r="A157" s="82"/>
      <c r="B157" s="4" t="s">
        <v>54</v>
      </c>
      <c r="C157" s="5" t="s">
        <v>130</v>
      </c>
      <c r="D157" s="2" t="s">
        <v>201</v>
      </c>
      <c r="E157" s="6">
        <f t="shared" si="13"/>
        <v>6.363955655271006</v>
      </c>
      <c r="F157" s="6">
        <f t="shared" si="13"/>
      </c>
      <c r="G157" s="6">
        <f t="shared" si="13"/>
      </c>
      <c r="H157" s="6">
        <f t="shared" si="13"/>
      </c>
    </row>
    <row r="158" spans="1:8" ht="12" customHeight="1">
      <c r="A158" s="82"/>
      <c r="B158" s="4" t="s">
        <v>55</v>
      </c>
      <c r="C158" s="5" t="s">
        <v>130</v>
      </c>
      <c r="D158" s="2" t="s">
        <v>201</v>
      </c>
      <c r="E158" s="6">
        <f t="shared" si="13"/>
        <v>8.485274207028008</v>
      </c>
      <c r="F158" s="6">
        <f t="shared" si="13"/>
      </c>
      <c r="G158" s="6">
        <f t="shared" si="13"/>
      </c>
      <c r="H158" s="6">
        <f t="shared" si="13"/>
      </c>
    </row>
    <row r="159" spans="1:8" ht="12" customHeight="1">
      <c r="A159" s="82"/>
      <c r="B159" s="4" t="s">
        <v>56</v>
      </c>
      <c r="C159" s="5" t="s">
        <v>130</v>
      </c>
      <c r="D159" s="2" t="s">
        <v>201</v>
      </c>
      <c r="E159" s="6">
        <f t="shared" si="13"/>
        <v>12.727911310542012</v>
      </c>
      <c r="F159" s="6">
        <f t="shared" si="13"/>
      </c>
      <c r="G159" s="6">
        <f t="shared" si="13"/>
      </c>
      <c r="H159" s="6">
        <f t="shared" si="13"/>
      </c>
    </row>
    <row r="160" spans="1:8" ht="12" customHeight="1">
      <c r="A160" s="82"/>
      <c r="B160" s="4" t="s">
        <v>57</v>
      </c>
      <c r="C160" s="5" t="s">
        <v>130</v>
      </c>
      <c r="D160" s="2" t="s">
        <v>201</v>
      </c>
      <c r="E160" s="6">
        <f t="shared" si="13"/>
        <v>16.970548414056015</v>
      </c>
      <c r="F160" s="6">
        <f t="shared" si="13"/>
      </c>
      <c r="G160" s="6">
        <f t="shared" si="13"/>
      </c>
      <c r="H160" s="6">
        <f t="shared" si="13"/>
      </c>
    </row>
    <row r="161" spans="1:8" ht="12" customHeight="1">
      <c r="A161" s="82"/>
      <c r="B161" s="4" t="s">
        <v>58</v>
      </c>
      <c r="C161" s="5" t="s">
        <v>130</v>
      </c>
      <c r="D161" s="2" t="s">
        <v>201</v>
      </c>
      <c r="E161" s="6">
        <f t="shared" si="13"/>
        <v>21.21318551757002</v>
      </c>
      <c r="F161" s="6">
        <f t="shared" si="13"/>
      </c>
      <c r="G161" s="6">
        <f t="shared" si="13"/>
      </c>
      <c r="H161" s="6">
        <f t="shared" si="13"/>
      </c>
    </row>
    <row r="162" spans="1:8" ht="12" customHeight="1">
      <c r="A162" s="82"/>
      <c r="B162" s="4" t="s">
        <v>59</v>
      </c>
      <c r="C162" s="5" t="s">
        <v>130</v>
      </c>
      <c r="D162" s="2" t="s">
        <v>201</v>
      </c>
      <c r="E162" s="6">
        <f t="shared" si="13"/>
        <v>29.698459724598028</v>
      </c>
      <c r="F162" s="6">
        <f t="shared" si="13"/>
      </c>
      <c r="G162" s="6">
        <f t="shared" si="13"/>
      </c>
      <c r="H162" s="6">
        <f t="shared" si="13"/>
      </c>
    </row>
    <row r="163" spans="1:8" ht="12" customHeight="1">
      <c r="A163" s="82"/>
      <c r="B163" s="4" t="s">
        <v>60</v>
      </c>
      <c r="C163" s="5" t="s">
        <v>130</v>
      </c>
      <c r="D163" s="2" t="s">
        <v>201</v>
      </c>
      <c r="E163" s="6">
        <f t="shared" si="13"/>
        <v>42.42637103514004</v>
      </c>
      <c r="F163" s="6">
        <f t="shared" si="13"/>
      </c>
      <c r="G163" s="6">
        <f t="shared" si="13"/>
      </c>
      <c r="H163" s="6">
        <f t="shared" si="13"/>
      </c>
    </row>
    <row r="164" spans="1:8" ht="12" customHeight="1">
      <c r="A164" s="82"/>
      <c r="B164" s="4" t="s">
        <v>61</v>
      </c>
      <c r="C164" s="5" t="s">
        <v>130</v>
      </c>
      <c r="D164" s="2" t="s">
        <v>201</v>
      </c>
      <c r="E164" s="6">
        <f t="shared" si="13"/>
        <v>63.63955655271006</v>
      </c>
      <c r="F164" s="6">
        <f t="shared" si="13"/>
      </c>
      <c r="G164" s="6">
        <f t="shared" si="13"/>
      </c>
      <c r="H164" s="6">
        <f t="shared" si="13"/>
      </c>
    </row>
    <row r="165" spans="1:8" ht="12" customHeight="1">
      <c r="A165" s="83"/>
      <c r="B165" s="4" t="s">
        <v>62</v>
      </c>
      <c r="C165" s="5" t="s">
        <v>130</v>
      </c>
      <c r="D165" s="2" t="s">
        <v>201</v>
      </c>
      <c r="E165" s="6">
        <f t="shared" si="13"/>
        <v>84.85274207028009</v>
      </c>
      <c r="F165" s="6">
        <f t="shared" si="13"/>
      </c>
      <c r="G165" s="6">
        <f t="shared" si="13"/>
      </c>
      <c r="H165" s="6">
        <f t="shared" si="13"/>
      </c>
    </row>
    <row r="166" spans="1:8" ht="12" customHeight="1">
      <c r="A166" s="81" t="s">
        <v>205</v>
      </c>
      <c r="B166" s="4">
        <v>20</v>
      </c>
      <c r="C166" s="5" t="s">
        <v>130</v>
      </c>
      <c r="D166" s="2" t="s">
        <v>201</v>
      </c>
      <c r="E166" s="6">
        <f aca="true" t="shared" si="14" ref="E166:H187">IF(E$25="","",1/(2*3.14159*$B100*E$25/1000000))</f>
        <v>848.5288541455186</v>
      </c>
      <c r="F166" s="6">
        <f t="shared" si="14"/>
      </c>
      <c r="G166" s="6">
        <f t="shared" si="14"/>
      </c>
      <c r="H166" s="6">
        <f t="shared" si="14"/>
      </c>
    </row>
    <row r="167" spans="1:8" ht="12" customHeight="1">
      <c r="A167" s="82"/>
      <c r="B167" s="4">
        <v>30</v>
      </c>
      <c r="C167" s="5" t="s">
        <v>130</v>
      </c>
      <c r="D167" s="2" t="s">
        <v>201</v>
      </c>
      <c r="E167" s="6">
        <f t="shared" si="14"/>
        <v>565.685902763679</v>
      </c>
      <c r="F167" s="6">
        <f t="shared" si="14"/>
      </c>
      <c r="G167" s="6">
        <f t="shared" si="14"/>
      </c>
      <c r="H167" s="6">
        <f t="shared" si="14"/>
      </c>
    </row>
    <row r="168" spans="1:8" ht="12" customHeight="1">
      <c r="A168" s="82"/>
      <c r="B168" s="4">
        <v>40</v>
      </c>
      <c r="C168" s="5" t="s">
        <v>130</v>
      </c>
      <c r="D168" s="2" t="s">
        <v>201</v>
      </c>
      <c r="E168" s="6">
        <f t="shared" si="14"/>
        <v>424.2644270727593</v>
      </c>
      <c r="F168" s="6">
        <f t="shared" si="14"/>
      </c>
      <c r="G168" s="6">
        <f t="shared" si="14"/>
      </c>
      <c r="H168" s="6">
        <f t="shared" si="14"/>
      </c>
    </row>
    <row r="169" spans="1:8" ht="12" customHeight="1">
      <c r="A169" s="82"/>
      <c r="B169" s="4">
        <v>50</v>
      </c>
      <c r="C169" s="5" t="s">
        <v>130</v>
      </c>
      <c r="D169" s="2" t="s">
        <v>201</v>
      </c>
      <c r="E169" s="6">
        <f t="shared" si="14"/>
        <v>339.41154165820745</v>
      </c>
      <c r="F169" s="6">
        <f t="shared" si="14"/>
      </c>
      <c r="G169" s="6">
        <f t="shared" si="14"/>
      </c>
      <c r="H169" s="6">
        <f t="shared" si="14"/>
      </c>
    </row>
    <row r="170" spans="1:8" ht="12" customHeight="1">
      <c r="A170" s="82"/>
      <c r="B170" s="4">
        <v>70</v>
      </c>
      <c r="C170" s="5" t="s">
        <v>130</v>
      </c>
      <c r="D170" s="2" t="s">
        <v>201</v>
      </c>
      <c r="E170" s="6">
        <f t="shared" si="14"/>
        <v>242.4368154701482</v>
      </c>
      <c r="F170" s="6">
        <f t="shared" si="14"/>
      </c>
      <c r="G170" s="6">
        <f t="shared" si="14"/>
      </c>
      <c r="H170" s="6">
        <f t="shared" si="14"/>
      </c>
    </row>
    <row r="171" spans="1:8" ht="12" customHeight="1">
      <c r="A171" s="82"/>
      <c r="B171" s="4">
        <v>100</v>
      </c>
      <c r="C171" s="5" t="s">
        <v>130</v>
      </c>
      <c r="D171" s="2" t="s">
        <v>201</v>
      </c>
      <c r="E171" s="6">
        <f t="shared" si="14"/>
        <v>169.70577082910373</v>
      </c>
      <c r="F171" s="6">
        <f t="shared" si="14"/>
      </c>
      <c r="G171" s="6">
        <f t="shared" si="14"/>
      </c>
      <c r="H171" s="6">
        <f t="shared" si="14"/>
      </c>
    </row>
    <row r="172" spans="1:8" ht="12" customHeight="1">
      <c r="A172" s="82"/>
      <c r="B172" s="4">
        <v>150</v>
      </c>
      <c r="C172" s="5" t="s">
        <v>130</v>
      </c>
      <c r="D172" s="2" t="s">
        <v>201</v>
      </c>
      <c r="E172" s="6">
        <f t="shared" si="14"/>
        <v>113.13718055273581</v>
      </c>
      <c r="F172" s="6">
        <f t="shared" si="14"/>
      </c>
      <c r="G172" s="6">
        <f t="shared" si="14"/>
      </c>
      <c r="H172" s="6">
        <f t="shared" si="14"/>
      </c>
    </row>
    <row r="173" spans="1:8" ht="12" customHeight="1">
      <c r="A173" s="82"/>
      <c r="B173" s="4">
        <v>200</v>
      </c>
      <c r="C173" s="5" t="s">
        <v>130</v>
      </c>
      <c r="D173" s="2" t="s">
        <v>201</v>
      </c>
      <c r="E173" s="6">
        <f t="shared" si="14"/>
        <v>84.85288541455186</v>
      </c>
      <c r="F173" s="6">
        <f t="shared" si="14"/>
      </c>
      <c r="G173" s="6">
        <f t="shared" si="14"/>
      </c>
      <c r="H173" s="6">
        <f t="shared" si="14"/>
      </c>
    </row>
    <row r="174" spans="1:8" ht="12" customHeight="1">
      <c r="A174" s="82"/>
      <c r="B174" s="4">
        <v>300</v>
      </c>
      <c r="C174" s="5" t="s">
        <v>130</v>
      </c>
      <c r="D174" s="2" t="s">
        <v>201</v>
      </c>
      <c r="E174" s="6">
        <f t="shared" si="14"/>
        <v>56.56859027636791</v>
      </c>
      <c r="F174" s="6">
        <f t="shared" si="14"/>
      </c>
      <c r="G174" s="6">
        <f t="shared" si="14"/>
      </c>
      <c r="H174" s="6">
        <f t="shared" si="14"/>
      </c>
    </row>
    <row r="175" spans="1:8" ht="12" customHeight="1">
      <c r="A175" s="82"/>
      <c r="B175" s="4">
        <v>400</v>
      </c>
      <c r="C175" s="5" t="s">
        <v>130</v>
      </c>
      <c r="D175" s="2" t="s">
        <v>201</v>
      </c>
      <c r="E175" s="6">
        <f t="shared" si="14"/>
        <v>42.42644270727593</v>
      </c>
      <c r="F175" s="6">
        <f t="shared" si="14"/>
      </c>
      <c r="G175" s="6">
        <f t="shared" si="14"/>
      </c>
      <c r="H175" s="6">
        <f t="shared" si="14"/>
      </c>
    </row>
    <row r="176" spans="1:8" ht="12" customHeight="1">
      <c r="A176" s="82"/>
      <c r="B176" s="4">
        <v>500</v>
      </c>
      <c r="C176" s="5" t="s">
        <v>130</v>
      </c>
      <c r="D176" s="2" t="s">
        <v>201</v>
      </c>
      <c r="E176" s="6">
        <f t="shared" si="14"/>
        <v>33.94115416582075</v>
      </c>
      <c r="F176" s="6">
        <f t="shared" si="14"/>
      </c>
      <c r="G176" s="6">
        <f t="shared" si="14"/>
      </c>
      <c r="H176" s="6">
        <f t="shared" si="14"/>
      </c>
    </row>
    <row r="177" spans="1:8" ht="12" customHeight="1">
      <c r="A177" s="82"/>
      <c r="B177" s="4">
        <v>700</v>
      </c>
      <c r="C177" s="5" t="s">
        <v>130</v>
      </c>
      <c r="D177" s="2" t="s">
        <v>201</v>
      </c>
      <c r="E177" s="6">
        <f t="shared" si="14"/>
        <v>24.24368154701482</v>
      </c>
      <c r="F177" s="6">
        <f t="shared" si="14"/>
      </c>
      <c r="G177" s="6">
        <f t="shared" si="14"/>
      </c>
      <c r="H177" s="6">
        <f t="shared" si="14"/>
      </c>
    </row>
    <row r="178" spans="1:8" ht="12" customHeight="1">
      <c r="A178" s="82"/>
      <c r="B178" s="4" t="s">
        <v>53</v>
      </c>
      <c r="C178" s="5" t="s">
        <v>130</v>
      </c>
      <c r="D178" s="2" t="s">
        <v>201</v>
      </c>
      <c r="E178" s="6">
        <f t="shared" si="14"/>
        <v>16.970577082910374</v>
      </c>
      <c r="F178" s="6">
        <f t="shared" si="14"/>
      </c>
      <c r="G178" s="6">
        <f t="shared" si="14"/>
      </c>
      <c r="H178" s="6">
        <f t="shared" si="14"/>
      </c>
    </row>
    <row r="179" spans="1:8" ht="12" customHeight="1">
      <c r="A179" s="82"/>
      <c r="B179" s="4" t="s">
        <v>54</v>
      </c>
      <c r="C179" s="5" t="s">
        <v>130</v>
      </c>
      <c r="D179" s="2" t="s">
        <v>201</v>
      </c>
      <c r="E179" s="6">
        <f t="shared" si="14"/>
        <v>11.31371805527358</v>
      </c>
      <c r="F179" s="6">
        <f t="shared" si="14"/>
      </c>
      <c r="G179" s="6">
        <f t="shared" si="14"/>
      </c>
      <c r="H179" s="6">
        <f t="shared" si="14"/>
      </c>
    </row>
    <row r="180" spans="1:8" ht="12" customHeight="1">
      <c r="A180" s="82"/>
      <c r="B180" s="4" t="s">
        <v>55</v>
      </c>
      <c r="C180" s="5" t="s">
        <v>130</v>
      </c>
      <c r="D180" s="2" t="s">
        <v>201</v>
      </c>
      <c r="E180" s="6">
        <f t="shared" si="14"/>
        <v>8.485288541455187</v>
      </c>
      <c r="F180" s="6">
        <f t="shared" si="14"/>
      </c>
      <c r="G180" s="6">
        <f t="shared" si="14"/>
      </c>
      <c r="H180" s="6">
        <f t="shared" si="14"/>
      </c>
    </row>
    <row r="181" spans="1:8" ht="12" customHeight="1">
      <c r="A181" s="82"/>
      <c r="B181" s="4" t="s">
        <v>56</v>
      </c>
      <c r="C181" s="5" t="s">
        <v>130</v>
      </c>
      <c r="D181" s="2" t="s">
        <v>201</v>
      </c>
      <c r="E181" s="6">
        <f t="shared" si="14"/>
        <v>5.65685902763679</v>
      </c>
      <c r="F181" s="6">
        <f t="shared" si="14"/>
      </c>
      <c r="G181" s="6">
        <f t="shared" si="14"/>
      </c>
      <c r="H181" s="6">
        <f t="shared" si="14"/>
      </c>
    </row>
    <row r="182" spans="1:8" ht="12" customHeight="1">
      <c r="A182" s="82"/>
      <c r="B182" s="4" t="s">
        <v>57</v>
      </c>
      <c r="C182" s="5" t="s">
        <v>130</v>
      </c>
      <c r="D182" s="2" t="s">
        <v>201</v>
      </c>
      <c r="E182" s="6">
        <f t="shared" si="14"/>
        <v>4.2426442707275935</v>
      </c>
      <c r="F182" s="6">
        <f t="shared" si="14"/>
      </c>
      <c r="G182" s="6">
        <f t="shared" si="14"/>
      </c>
      <c r="H182" s="6">
        <f t="shared" si="14"/>
      </c>
    </row>
    <row r="183" spans="1:8" ht="12" customHeight="1">
      <c r="A183" s="82"/>
      <c r="B183" s="4" t="s">
        <v>58</v>
      </c>
      <c r="C183" s="5" t="s">
        <v>130</v>
      </c>
      <c r="D183" s="2" t="s">
        <v>201</v>
      </c>
      <c r="E183" s="6">
        <f t="shared" si="14"/>
        <v>3.3941154165820744</v>
      </c>
      <c r="F183" s="6">
        <f t="shared" si="14"/>
      </c>
      <c r="G183" s="6">
        <f t="shared" si="14"/>
      </c>
      <c r="H183" s="6">
        <f t="shared" si="14"/>
      </c>
    </row>
    <row r="184" spans="1:8" ht="12" customHeight="1">
      <c r="A184" s="82"/>
      <c r="B184" s="4" t="s">
        <v>59</v>
      </c>
      <c r="C184" s="5" t="s">
        <v>130</v>
      </c>
      <c r="D184" s="2" t="s">
        <v>201</v>
      </c>
      <c r="E184" s="6">
        <f t="shared" si="14"/>
        <v>2.4243681547014817</v>
      </c>
      <c r="F184" s="6">
        <f t="shared" si="14"/>
      </c>
      <c r="G184" s="6">
        <f t="shared" si="14"/>
      </c>
      <c r="H184" s="6">
        <f t="shared" si="14"/>
      </c>
    </row>
    <row r="185" spans="1:8" ht="12" customHeight="1">
      <c r="A185" s="82"/>
      <c r="B185" s="4" t="s">
        <v>60</v>
      </c>
      <c r="C185" s="5" t="s">
        <v>130</v>
      </c>
      <c r="D185" s="2" t="s">
        <v>201</v>
      </c>
      <c r="E185" s="6">
        <f t="shared" si="14"/>
        <v>1.6970577082910372</v>
      </c>
      <c r="F185" s="6">
        <f t="shared" si="14"/>
      </c>
      <c r="G185" s="6">
        <f t="shared" si="14"/>
      </c>
      <c r="H185" s="6">
        <f t="shared" si="14"/>
      </c>
    </row>
    <row r="186" spans="1:8" ht="12" customHeight="1">
      <c r="A186" s="82"/>
      <c r="B186" s="4" t="s">
        <v>61</v>
      </c>
      <c r="C186" s="5" t="s">
        <v>130</v>
      </c>
      <c r="D186" s="2" t="s">
        <v>201</v>
      </c>
      <c r="E186" s="6">
        <f t="shared" si="14"/>
        <v>1.131371805527358</v>
      </c>
      <c r="F186" s="6">
        <f t="shared" si="14"/>
      </c>
      <c r="G186" s="6">
        <f t="shared" si="14"/>
      </c>
      <c r="H186" s="6">
        <f t="shared" si="14"/>
      </c>
    </row>
    <row r="187" spans="1:8" ht="12" customHeight="1">
      <c r="A187" s="83"/>
      <c r="B187" s="4" t="s">
        <v>62</v>
      </c>
      <c r="C187" s="5" t="s">
        <v>130</v>
      </c>
      <c r="D187" s="2" t="s">
        <v>201</v>
      </c>
      <c r="E187" s="6">
        <f t="shared" si="14"/>
        <v>0.8485288541455186</v>
      </c>
      <c r="F187" s="6">
        <f t="shared" si="14"/>
      </c>
      <c r="G187" s="6">
        <f t="shared" si="14"/>
      </c>
      <c r="H187" s="6">
        <f t="shared" si="14"/>
      </c>
    </row>
  </sheetData>
  <sheetProtection password="BF23" sheet="1" objects="1" scenarios="1"/>
  <mergeCells count="14">
    <mergeCell ref="A1:F1"/>
    <mergeCell ref="A26:A33"/>
    <mergeCell ref="B16:C16"/>
    <mergeCell ref="A22:A23"/>
    <mergeCell ref="A24:A25"/>
    <mergeCell ref="B28:D28"/>
    <mergeCell ref="B19:D19"/>
    <mergeCell ref="A122:A143"/>
    <mergeCell ref="A144:A165"/>
    <mergeCell ref="A166:A187"/>
    <mergeCell ref="A34:A55"/>
    <mergeCell ref="A56:A77"/>
    <mergeCell ref="A78:A99"/>
    <mergeCell ref="A100:A121"/>
  </mergeCells>
  <conditionalFormatting sqref="E19:H19">
    <cfRule type="cellIs" priority="1" dxfId="0" operator="notBetween" stopIfTrue="1">
      <formula>0</formula>
      <formula>1</formula>
    </cfRule>
  </conditionalFormatting>
  <conditionalFormatting sqref="E28:H28">
    <cfRule type="cellIs" priority="2" dxfId="0" operator="notBetween" stopIfTrue="1">
      <formula>0</formula>
      <formula>2</formula>
    </cfRule>
  </conditionalFormatting>
  <printOptions horizontalCentered="1"/>
  <pageMargins left="0.7874015748031497" right="0.3937007874015748" top="0.7874015748031497" bottom="0.3937007874015748" header="0.2755905511811024" footer="0.31496062992125984"/>
  <pageSetup horizontalDpi="600" verticalDpi="600" orientation="portrait" paperSize="9" r:id="rId4"/>
  <headerFooter alignWithMargins="0">
    <oddHeader>&amp;R&amp;P/&amp;N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19.375" style="0" customWidth="1"/>
    <col min="2" max="2" width="14.125" style="0" customWidth="1"/>
    <col min="3" max="4" width="5.875" style="0" customWidth="1"/>
    <col min="5" max="24" width="11.125" style="0" customWidth="1"/>
  </cols>
  <sheetData>
    <row r="1" spans="1:9" ht="15" customHeight="1">
      <c r="A1" s="88" t="s">
        <v>159</v>
      </c>
      <c r="B1" s="89"/>
      <c r="C1" s="89"/>
      <c r="D1" s="89"/>
      <c r="E1" s="89"/>
      <c r="F1" s="90"/>
      <c r="G1" s="34" t="s">
        <v>150</v>
      </c>
      <c r="H1" s="35" t="s">
        <v>149</v>
      </c>
      <c r="I1" s="65" t="s">
        <v>135</v>
      </c>
    </row>
    <row r="2" spans="1:16" ht="15" customHeight="1">
      <c r="A2" s="24"/>
      <c r="B2" s="25"/>
      <c r="C2" s="25"/>
      <c r="D2" s="25"/>
      <c r="E2" s="25"/>
      <c r="F2" s="25"/>
      <c r="G2" s="25"/>
      <c r="H2" s="26"/>
      <c r="I2" s="66" t="s">
        <v>136</v>
      </c>
      <c r="J2" s="1"/>
      <c r="K2" s="1"/>
      <c r="L2" s="1"/>
      <c r="M2" s="1"/>
      <c r="N2" s="1"/>
      <c r="O2" s="1"/>
      <c r="P2" s="1"/>
    </row>
    <row r="3" spans="1:16" ht="15" customHeight="1">
      <c r="A3" s="27"/>
      <c r="B3" s="28"/>
      <c r="C3" s="28"/>
      <c r="D3" s="28"/>
      <c r="E3" s="28"/>
      <c r="F3" s="28"/>
      <c r="G3" s="28"/>
      <c r="H3" s="29"/>
      <c r="I3" s="1" t="s">
        <v>138</v>
      </c>
      <c r="J3" s="1"/>
      <c r="K3" s="1"/>
      <c r="L3" s="1"/>
      <c r="M3" s="1"/>
      <c r="N3" s="1"/>
      <c r="O3" s="1"/>
      <c r="P3" s="1"/>
    </row>
    <row r="4" spans="1:16" ht="15" customHeight="1">
      <c r="A4" s="27"/>
      <c r="B4" s="28"/>
      <c r="C4" s="28"/>
      <c r="D4" s="28"/>
      <c r="E4" s="28"/>
      <c r="F4" s="28"/>
      <c r="G4" s="28"/>
      <c r="H4" s="29"/>
      <c r="I4" s="1" t="s">
        <v>139</v>
      </c>
      <c r="J4" s="1"/>
      <c r="K4" s="1"/>
      <c r="L4" s="1"/>
      <c r="M4" s="1"/>
      <c r="N4" s="1"/>
      <c r="O4" s="1"/>
      <c r="P4" s="1"/>
    </row>
    <row r="5" spans="1:16" ht="15" customHeight="1">
      <c r="A5" s="27"/>
      <c r="B5" s="28"/>
      <c r="C5" s="28"/>
      <c r="D5" s="28"/>
      <c r="E5" s="28"/>
      <c r="F5" s="28"/>
      <c r="G5" s="28"/>
      <c r="H5" s="29"/>
      <c r="I5" s="1" t="s">
        <v>140</v>
      </c>
      <c r="J5" s="1"/>
      <c r="K5" s="1"/>
      <c r="L5" s="1"/>
      <c r="M5" s="1"/>
      <c r="N5" s="1"/>
      <c r="O5" s="1"/>
      <c r="P5" s="1"/>
    </row>
    <row r="6" spans="1:16" ht="15" customHeight="1">
      <c r="A6" s="27"/>
      <c r="B6" s="28"/>
      <c r="C6" s="28"/>
      <c r="D6" s="28"/>
      <c r="E6" s="28"/>
      <c r="F6" s="28"/>
      <c r="G6" s="28"/>
      <c r="H6" s="29"/>
      <c r="I6" s="66" t="s">
        <v>137</v>
      </c>
      <c r="J6" s="1"/>
      <c r="K6" s="1"/>
      <c r="L6" s="1"/>
      <c r="M6" s="1"/>
      <c r="N6" s="1"/>
      <c r="O6" s="1"/>
      <c r="P6" s="1"/>
    </row>
    <row r="7" spans="1:16" ht="15" customHeight="1">
      <c r="A7" s="27"/>
      <c r="B7" s="28"/>
      <c r="C7" s="28"/>
      <c r="D7" s="28"/>
      <c r="E7" s="28"/>
      <c r="F7" s="28"/>
      <c r="G7" s="28"/>
      <c r="H7" s="29"/>
      <c r="I7" s="1" t="s">
        <v>141</v>
      </c>
      <c r="J7" s="1"/>
      <c r="K7" s="1"/>
      <c r="L7" s="1"/>
      <c r="M7" s="1"/>
      <c r="N7" s="1"/>
      <c r="O7" s="1"/>
      <c r="P7" s="1"/>
    </row>
    <row r="8" spans="1:16" ht="15" customHeight="1">
      <c r="A8" s="27"/>
      <c r="B8" s="28"/>
      <c r="C8" s="28"/>
      <c r="D8" s="28"/>
      <c r="E8" s="28"/>
      <c r="F8" s="28"/>
      <c r="G8" s="28"/>
      <c r="H8" s="29"/>
      <c r="I8" s="1" t="s">
        <v>142</v>
      </c>
      <c r="J8" s="1"/>
      <c r="K8" s="1"/>
      <c r="L8" s="1"/>
      <c r="M8" s="1"/>
      <c r="N8" s="1"/>
      <c r="O8" s="1"/>
      <c r="P8" s="1"/>
    </row>
    <row r="9" spans="1:16" ht="15" customHeight="1">
      <c r="A9" s="27"/>
      <c r="B9" s="28"/>
      <c r="C9" s="28"/>
      <c r="D9" s="28"/>
      <c r="E9" s="28"/>
      <c r="F9" s="28"/>
      <c r="G9" s="28"/>
      <c r="H9" s="29"/>
      <c r="I9" s="1" t="s">
        <v>143</v>
      </c>
      <c r="J9" s="1"/>
      <c r="K9" s="1"/>
      <c r="L9" s="1"/>
      <c r="M9" s="1"/>
      <c r="N9" s="1"/>
      <c r="O9" s="1"/>
      <c r="P9" s="1"/>
    </row>
    <row r="10" spans="1:16" ht="15" customHeight="1">
      <c r="A10" s="27"/>
      <c r="B10" s="28"/>
      <c r="C10" s="28"/>
      <c r="D10" s="28"/>
      <c r="E10" s="28"/>
      <c r="F10" s="28"/>
      <c r="G10" s="28"/>
      <c r="H10" s="29"/>
      <c r="I10" s="1" t="s">
        <v>144</v>
      </c>
      <c r="J10" s="1"/>
      <c r="K10" s="1"/>
      <c r="L10" s="1"/>
      <c r="M10" s="1"/>
      <c r="N10" s="1"/>
      <c r="O10" s="1"/>
      <c r="P10" s="1"/>
    </row>
    <row r="11" spans="1:16" ht="15" customHeight="1">
      <c r="A11" s="27"/>
      <c r="B11" s="28"/>
      <c r="C11" s="28"/>
      <c r="D11" s="28"/>
      <c r="E11" s="28"/>
      <c r="F11" s="28"/>
      <c r="G11" s="28"/>
      <c r="H11" s="29"/>
      <c r="I11" s="1" t="s">
        <v>145</v>
      </c>
      <c r="J11" s="1"/>
      <c r="K11" s="1"/>
      <c r="L11" s="1"/>
      <c r="M11" s="1"/>
      <c r="N11" s="1"/>
      <c r="O11" s="1"/>
      <c r="P11" s="1"/>
    </row>
    <row r="12" spans="1:16" ht="15" customHeight="1">
      <c r="A12" s="27"/>
      <c r="B12" s="28"/>
      <c r="C12" s="28"/>
      <c r="D12" s="28"/>
      <c r="E12" s="28"/>
      <c r="F12" s="28"/>
      <c r="G12" s="28"/>
      <c r="H12" s="29"/>
      <c r="I12" s="1" t="s">
        <v>147</v>
      </c>
      <c r="J12" s="1"/>
      <c r="K12" s="1"/>
      <c r="L12" s="1"/>
      <c r="M12" s="1"/>
      <c r="N12" s="1"/>
      <c r="O12" s="1"/>
      <c r="P12" s="1"/>
    </row>
    <row r="13" spans="1:16" ht="15" customHeight="1">
      <c r="A13" s="27"/>
      <c r="B13" s="28"/>
      <c r="C13" s="28"/>
      <c r="D13" s="28"/>
      <c r="E13" s="28"/>
      <c r="F13" s="28"/>
      <c r="G13" s="28"/>
      <c r="H13" s="29"/>
      <c r="I13" s="1" t="s">
        <v>146</v>
      </c>
      <c r="J13" s="1"/>
      <c r="K13" s="1"/>
      <c r="L13" s="1"/>
      <c r="M13" s="1"/>
      <c r="N13" s="1"/>
      <c r="O13" s="1"/>
      <c r="P13" s="1"/>
    </row>
    <row r="14" spans="1:16" ht="15" customHeight="1">
      <c r="A14" s="27"/>
      <c r="B14" s="28"/>
      <c r="C14" s="28"/>
      <c r="D14" s="28"/>
      <c r="E14" s="28"/>
      <c r="F14" s="28"/>
      <c r="G14" s="28"/>
      <c r="H14" s="29"/>
      <c r="I14" s="112" t="s">
        <v>218</v>
      </c>
      <c r="J14" s="1"/>
      <c r="K14" s="1"/>
      <c r="L14" s="1"/>
      <c r="M14" s="1"/>
      <c r="N14" s="1"/>
      <c r="O14" s="1"/>
      <c r="P14" s="1"/>
    </row>
    <row r="15" spans="1:16" ht="15" customHeight="1">
      <c r="A15" s="27"/>
      <c r="B15" s="28"/>
      <c r="C15" s="28"/>
      <c r="D15" s="28"/>
      <c r="E15" s="28"/>
      <c r="F15" s="28"/>
      <c r="G15" s="28"/>
      <c r="H15" s="29"/>
      <c r="I15" s="111" t="s">
        <v>219</v>
      </c>
      <c r="J15" s="1"/>
      <c r="K15" s="1"/>
      <c r="L15" s="1"/>
      <c r="M15" s="1"/>
      <c r="N15" s="1"/>
      <c r="O15" s="1"/>
      <c r="P15" s="1"/>
    </row>
    <row r="16" spans="1:16" ht="15" customHeight="1">
      <c r="A16" s="13" t="s">
        <v>92</v>
      </c>
      <c r="B16" s="12" t="s">
        <v>99</v>
      </c>
      <c r="C16" s="13" t="s">
        <v>162</v>
      </c>
      <c r="D16" s="2" t="s">
        <v>130</v>
      </c>
      <c r="E16" s="15">
        <v>500</v>
      </c>
      <c r="F16" s="15">
        <v>4000</v>
      </c>
      <c r="G16" s="84" t="s">
        <v>217</v>
      </c>
      <c r="H16" s="85"/>
      <c r="I16" s="113" t="s">
        <v>220</v>
      </c>
      <c r="J16" s="1"/>
      <c r="K16" s="1"/>
      <c r="L16" s="1"/>
      <c r="M16" s="1"/>
      <c r="N16" s="1"/>
      <c r="O16" s="1"/>
      <c r="P16" s="1"/>
    </row>
    <row r="17" spans="1:16" ht="15" customHeight="1">
      <c r="A17" s="39" t="s">
        <v>93</v>
      </c>
      <c r="B17" s="12" t="s">
        <v>100</v>
      </c>
      <c r="C17" s="13"/>
      <c r="D17" s="2" t="s">
        <v>128</v>
      </c>
      <c r="E17" s="57" t="s">
        <v>180</v>
      </c>
      <c r="F17" s="36"/>
      <c r="G17" s="43" t="s">
        <v>113</v>
      </c>
      <c r="H17" s="44"/>
      <c r="I17" s="111" t="s">
        <v>221</v>
      </c>
      <c r="J17" s="1"/>
      <c r="K17" s="1"/>
      <c r="L17" s="1"/>
      <c r="M17" s="1"/>
      <c r="N17" s="1"/>
      <c r="O17" s="1"/>
      <c r="P17" s="1"/>
    </row>
    <row r="18" spans="1:16" ht="15" customHeight="1">
      <c r="A18" s="93" t="s">
        <v>94</v>
      </c>
      <c r="B18" s="12" t="s">
        <v>101</v>
      </c>
      <c r="C18" s="13" t="s">
        <v>172</v>
      </c>
      <c r="D18" s="2" t="s">
        <v>131</v>
      </c>
      <c r="E18" s="3">
        <f>$H$21*10^3/(2*PI()*$E$16)</f>
        <v>1.9098593171027443</v>
      </c>
      <c r="F18" s="3">
        <f>$H$21*10^3/(2*PI()*$F$16)</f>
        <v>0.23873241463784303</v>
      </c>
      <c r="G18" s="3"/>
      <c r="H18" s="3"/>
      <c r="I18" s="111" t="s">
        <v>222</v>
      </c>
      <c r="J18" s="1"/>
      <c r="K18" s="1"/>
      <c r="L18" s="1"/>
      <c r="M18" s="1"/>
      <c r="N18" s="1"/>
      <c r="O18" s="1"/>
      <c r="P18" s="1"/>
    </row>
    <row r="19" spans="1:16" ht="15" customHeight="1">
      <c r="A19" s="94"/>
      <c r="B19" s="12" t="s">
        <v>102</v>
      </c>
      <c r="C19" s="13" t="s">
        <v>173</v>
      </c>
      <c r="D19" s="67" t="s">
        <v>132</v>
      </c>
      <c r="E19" s="3">
        <f>10^6/(2*PI()*$E$16*$H$21)</f>
        <v>53.05164769729845</v>
      </c>
      <c r="F19" s="3">
        <f>10^6/(2*PI()*$F$16*$H$21)</f>
        <v>6.631455962162306</v>
      </c>
      <c r="G19" s="3"/>
      <c r="H19" s="3"/>
      <c r="I19" s="111" t="s">
        <v>223</v>
      </c>
      <c r="J19" s="1"/>
      <c r="K19" s="1"/>
      <c r="L19" s="1"/>
      <c r="M19" s="1"/>
      <c r="N19" s="1"/>
      <c r="O19" s="1"/>
      <c r="P19" s="1"/>
    </row>
    <row r="20" spans="1:16" ht="12" customHeight="1">
      <c r="A20" s="33" t="s">
        <v>95</v>
      </c>
      <c r="B20" s="91" t="s">
        <v>103</v>
      </c>
      <c r="C20" s="92"/>
      <c r="D20" s="33" t="s">
        <v>111</v>
      </c>
      <c r="E20" s="2" t="s">
        <v>148</v>
      </c>
      <c r="F20" s="2" t="s">
        <v>151</v>
      </c>
      <c r="G20" s="2" t="s">
        <v>155</v>
      </c>
      <c r="H20" s="2" t="s">
        <v>152</v>
      </c>
      <c r="I20" s="111" t="s">
        <v>224</v>
      </c>
      <c r="J20" s="1"/>
      <c r="K20" s="1"/>
      <c r="L20" s="1"/>
      <c r="M20" s="1"/>
      <c r="N20" s="1"/>
      <c r="O20" s="1"/>
      <c r="P20" s="1"/>
    </row>
    <row r="21" spans="1:16" ht="12" customHeight="1">
      <c r="A21" s="13" t="s">
        <v>96</v>
      </c>
      <c r="B21" s="16" t="s">
        <v>182</v>
      </c>
      <c r="C21" s="17" t="s">
        <v>75</v>
      </c>
      <c r="D21" s="2" t="s">
        <v>127</v>
      </c>
      <c r="E21" s="46">
        <v>6</v>
      </c>
      <c r="F21" s="46">
        <v>6</v>
      </c>
      <c r="G21" s="46">
        <v>6</v>
      </c>
      <c r="H21" s="19">
        <v>6</v>
      </c>
      <c r="I21" s="111" t="s">
        <v>225</v>
      </c>
      <c r="J21" s="1"/>
      <c r="K21" s="1"/>
      <c r="L21" s="1"/>
      <c r="M21" s="1"/>
      <c r="N21" s="1"/>
      <c r="O21" s="1"/>
      <c r="P21" s="1"/>
    </row>
    <row r="22" spans="1:16" ht="12" customHeight="1">
      <c r="A22" s="12" t="s">
        <v>97</v>
      </c>
      <c r="B22" s="16" t="s">
        <v>182</v>
      </c>
      <c r="C22" s="13" t="s">
        <v>86</v>
      </c>
      <c r="D22" s="2" t="s">
        <v>133</v>
      </c>
      <c r="E22" s="46">
        <v>91</v>
      </c>
      <c r="F22" s="46">
        <v>91</v>
      </c>
      <c r="G22" s="46">
        <v>91</v>
      </c>
      <c r="H22" s="8">
        <v>91</v>
      </c>
      <c r="I22" s="1"/>
      <c r="J22" s="1"/>
      <c r="K22" s="1"/>
      <c r="L22" s="1"/>
      <c r="M22" s="1"/>
      <c r="N22" s="1"/>
      <c r="O22" s="1"/>
      <c r="P22" s="1"/>
    </row>
    <row r="23" spans="1:16" ht="12" customHeight="1">
      <c r="A23" s="95" t="s">
        <v>98</v>
      </c>
      <c r="B23" s="12" t="s">
        <v>107</v>
      </c>
      <c r="C23" s="13" t="s">
        <v>87</v>
      </c>
      <c r="D23" s="2" t="s">
        <v>134</v>
      </c>
      <c r="E23" s="8">
        <v>6</v>
      </c>
      <c r="F23" s="8">
        <v>6</v>
      </c>
      <c r="G23" s="8">
        <v>6</v>
      </c>
      <c r="H23" s="23"/>
      <c r="I23" s="1"/>
      <c r="J23" s="1"/>
      <c r="K23" s="1"/>
      <c r="L23" s="1"/>
      <c r="M23" s="1"/>
      <c r="N23" s="1"/>
      <c r="O23" s="1"/>
      <c r="P23" s="1"/>
    </row>
    <row r="24" spans="1:16" ht="12" customHeight="1">
      <c r="A24" s="96"/>
      <c r="B24" s="12" t="s">
        <v>104</v>
      </c>
      <c r="C24" s="13" t="s">
        <v>85</v>
      </c>
      <c r="D24" s="2" t="s">
        <v>133</v>
      </c>
      <c r="E24" s="8">
        <v>91</v>
      </c>
      <c r="F24" s="8">
        <v>91</v>
      </c>
      <c r="G24" s="8">
        <v>91</v>
      </c>
      <c r="H24" s="14"/>
      <c r="I24" s="1"/>
      <c r="J24" s="1"/>
      <c r="K24" s="1"/>
      <c r="L24" s="1"/>
      <c r="M24" s="1"/>
      <c r="N24" s="1"/>
      <c r="O24" s="1"/>
      <c r="P24" s="1"/>
    </row>
    <row r="25" spans="1:16" ht="12" customHeight="1">
      <c r="A25" s="96"/>
      <c r="B25" s="12" t="s">
        <v>105</v>
      </c>
      <c r="C25" s="13" t="s">
        <v>12</v>
      </c>
      <c r="D25" s="2"/>
      <c r="E25" s="9">
        <v>1</v>
      </c>
      <c r="F25" s="9">
        <v>1</v>
      </c>
      <c r="G25" s="9">
        <v>1</v>
      </c>
      <c r="H25" s="14"/>
      <c r="I25" s="1"/>
      <c r="J25" s="1"/>
      <c r="K25" s="1"/>
      <c r="L25" s="1"/>
      <c r="M25" s="1"/>
      <c r="N25" s="1"/>
      <c r="O25" s="1"/>
      <c r="P25" s="1"/>
    </row>
    <row r="26" spans="1:16" ht="12" customHeight="1">
      <c r="A26" s="96"/>
      <c r="B26" s="12" t="s">
        <v>106</v>
      </c>
      <c r="C26" s="13" t="s">
        <v>153</v>
      </c>
      <c r="D26" s="2" t="s">
        <v>134</v>
      </c>
      <c r="E26" s="14" t="str">
        <f>IF(E$21*E$22*E$23*E$24=0,"",IF(E$25=0,"",IF(E$22&gt;E$24+10*LOG(E$21/E$23),"Unable",IF(E$23/(10^((E$22-E$24-10*LOG(E$21/E$23))/20))-E$21=0,"Blank",IF(E$25=0,"",E$21*E$23/ABS(E$23/(10^((E$22-E$24-10*LOG(E$21/E$23))/20))-E$21))))))</f>
        <v>Blank</v>
      </c>
      <c r="F26" s="14" t="str">
        <f>IF(F$21*F$22*F$23*F$24=0,"",IF(F$25=0,"",IF(F$22&gt;F$24+10*LOG(F$21/F$23),"Unable",IF(F$23/(10^((F$22-F$24-10*LOG(F$21/F$23))/20))-F$21=0,"Blank",IF(F$25=0,"",F$21*F$23/ABS(F$23/(10^((F$22-F$24-10*LOG(F$21/F$23))/20))-F$21))))))</f>
        <v>Blank</v>
      </c>
      <c r="G26" s="14" t="str">
        <f>IF(G$21*G$22*G$23*G$24=0,"",IF(G$25=0,"",IF(G$22&gt;G$24+10*LOG(G$21/G$23),"Unable",IF(G$23/(10^((G$22-G$24-10*LOG(G$21/G$23))/20))-G$21=0,"Blank",IF(G$25=0,"",G$21*G$23/ABS(G$23/(10^((G$22-G$24-10*LOG(G$21/G$23))/20))-G$21))))))</f>
        <v>Blank</v>
      </c>
      <c r="H26" s="23"/>
      <c r="I26" s="1"/>
      <c r="J26" s="1"/>
      <c r="K26" s="1"/>
      <c r="L26" s="1"/>
      <c r="M26" s="1"/>
      <c r="N26" s="1"/>
      <c r="O26" s="1"/>
      <c r="P26" s="1"/>
    </row>
    <row r="27" spans="1:16" ht="12" customHeight="1">
      <c r="A27" s="96"/>
      <c r="B27" s="12" t="s">
        <v>108</v>
      </c>
      <c r="C27" s="13" t="s">
        <v>154</v>
      </c>
      <c r="D27" s="2" t="s">
        <v>134</v>
      </c>
      <c r="E27" s="14">
        <f>IF(E$21*E$22*E$23*E$24=0,"",IF(E$25=0,"",IF(E$24+E$30&lt;E$22,"Unable",IF(E$26="Unable","Unable",IF(E$26="Blank",E$21-E$23,E$21-E$26*E$23/(E$26+E$23))))))</f>
        <v>0</v>
      </c>
      <c r="F27" s="14">
        <f>IF(F$21*F$22*F$23*F$24=0,"",IF(F$25=0,"",IF(F$24+F$30&lt;F$22,"Unable",IF(F$26="Unable","Unable",IF(F$26="Blank",F$21-F$23,F$21-F$26*F$23/(F$26+F$23))))))</f>
        <v>0</v>
      </c>
      <c r="G27" s="14">
        <f>IF(G$21*G$22*G$23*G$24=0,"",IF(G$25=0,"",IF(G$24+G$30&lt;G$22,"Unable",IF(G$26="Unable","Unable",IF(G$26="Blank",G$21-G$23,G$21-G$26*G$23/(G$26+G$23))))))</f>
        <v>0</v>
      </c>
      <c r="H27" s="14"/>
      <c r="I27" s="1"/>
      <c r="J27" s="1"/>
      <c r="K27" s="1"/>
      <c r="L27" s="1"/>
      <c r="M27" s="1"/>
      <c r="N27" s="1"/>
      <c r="O27" s="1"/>
      <c r="P27" s="1"/>
    </row>
    <row r="28" spans="1:16" ht="12" customHeight="1">
      <c r="A28" s="96"/>
      <c r="B28" s="12" t="s">
        <v>109</v>
      </c>
      <c r="C28" s="22" t="s">
        <v>76</v>
      </c>
      <c r="D28" s="2" t="s">
        <v>134</v>
      </c>
      <c r="E28" s="23">
        <f>IF(E$21*E$22*E$23*E$24=0,"",IF(E$25=1,E$21,E$23))</f>
        <v>6</v>
      </c>
      <c r="F28" s="23">
        <f>IF(F$21*F$22*F$23*F$24=0,"",IF(F$25=1,F$21,F$23))</f>
        <v>6</v>
      </c>
      <c r="G28" s="23">
        <f>IF(G$21*G$22*G$23*G$24=0,"",IF(G$25=1,G$21,G$23))</f>
        <v>6</v>
      </c>
      <c r="H28" s="14"/>
      <c r="I28" s="1"/>
      <c r="J28" s="1"/>
      <c r="K28" s="1"/>
      <c r="L28" s="1"/>
      <c r="M28" s="1"/>
      <c r="N28" s="1"/>
      <c r="O28" s="1"/>
      <c r="P28" s="1"/>
    </row>
    <row r="29" spans="1:16" ht="12" customHeight="1">
      <c r="A29" s="96"/>
      <c r="B29" s="12" t="s">
        <v>110</v>
      </c>
      <c r="C29" s="13" t="s">
        <v>77</v>
      </c>
      <c r="D29" s="2" t="s">
        <v>112</v>
      </c>
      <c r="E29" s="14">
        <f>IF(E$21*E$22*E$23*E$24=0,"",10^(E$30/20))</f>
        <v>1</v>
      </c>
      <c r="F29" s="14">
        <f>IF(F$21*F$22*F$23*F$24=0,"",10^(F$30/20))</f>
        <v>1</v>
      </c>
      <c r="G29" s="14">
        <f>IF(G$21*G$22*G$23*G$24=0,"",10^(G$30/20))</f>
        <v>1</v>
      </c>
      <c r="H29" s="14"/>
      <c r="I29" s="73" t="s">
        <v>210</v>
      </c>
      <c r="J29" s="74"/>
      <c r="K29" s="74"/>
      <c r="L29" s="75"/>
      <c r="M29" s="76"/>
      <c r="N29" s="1"/>
      <c r="O29" s="1"/>
      <c r="P29" s="1"/>
    </row>
    <row r="30" spans="1:16" ht="12" customHeight="1">
      <c r="A30" s="97"/>
      <c r="B30" s="12" t="s">
        <v>110</v>
      </c>
      <c r="C30" s="13" t="s">
        <v>77</v>
      </c>
      <c r="D30" s="2" t="s">
        <v>125</v>
      </c>
      <c r="E30" s="14">
        <f>IF(E$21*E$22*E$23*E$24=0,"",IF(E$25=1,0,E$24-E$22+10*LOG(E$21/E$23)))</f>
        <v>0</v>
      </c>
      <c r="F30" s="14">
        <f>IF(F$21*F$22*F$23*F$24=0,"",IF(F$25=1,0,F$24-F$22+10*LOG(F$21/F$23)))</f>
        <v>0</v>
      </c>
      <c r="G30" s="14">
        <f>IF(G$21*G$22*G$23*G$24=0,"",IF(G$25=1,0,G$24-G$22+10*LOG(G$21/G$23)))</f>
        <v>0</v>
      </c>
      <c r="H30" s="14"/>
      <c r="I30" s="2" t="s">
        <v>211</v>
      </c>
      <c r="J30" s="2" t="s">
        <v>212</v>
      </c>
      <c r="K30" s="2" t="s">
        <v>213</v>
      </c>
      <c r="L30" s="2" t="s">
        <v>214</v>
      </c>
      <c r="M30" s="77"/>
      <c r="N30" s="1"/>
      <c r="O30" s="1"/>
      <c r="P30" s="1"/>
    </row>
    <row r="31" spans="1:13" ht="12" customHeight="1">
      <c r="A31" s="81" t="s">
        <v>114</v>
      </c>
      <c r="B31" s="4">
        <v>20</v>
      </c>
      <c r="C31" s="5" t="s">
        <v>130</v>
      </c>
      <c r="D31" s="68" t="s">
        <v>129</v>
      </c>
      <c r="E31" s="6">
        <f>6/(H141^2+H163^2)^0.5/$H$21</f>
        <v>5.999999999999999</v>
      </c>
      <c r="F31" s="6"/>
      <c r="G31" s="58" t="s">
        <v>161</v>
      </c>
      <c r="H31" s="3">
        <f>10*LOG((10^((IF($H$17=0,0,E185)+E$22-H$22+E$30+20*LOG(E$28/(E97^2+E$28^2)^0.5))/20))^2+(10^((IF($H$17=0,0,F185)+F$22-H$22+F$30+20*LOG(1/((1+F163*E119)^2+F141^2*E119^2)^0.5*F$28/(F$28^2+F97^2)^0.5))/20))^2+(10^((IF($H$17=0,0,G185)+G$22-H$22+G$30+20*LOG(1/((1+F163*E119)^2+F141^2*E119^2)^0.5*G$28/(G$28^2+F119^2)^0.5))/20))^2)+$L31</f>
        <v>-9.643274665532871E-16</v>
      </c>
      <c r="I31" s="71"/>
      <c r="J31" s="71"/>
      <c r="K31" s="71"/>
      <c r="L31" s="72">
        <v>0</v>
      </c>
      <c r="M31" s="78" t="s">
        <v>215</v>
      </c>
    </row>
    <row r="32" spans="1:13" ht="12" customHeight="1">
      <c r="A32" s="86"/>
      <c r="B32" s="4">
        <v>30</v>
      </c>
      <c r="C32" s="5" t="s">
        <v>130</v>
      </c>
      <c r="D32" s="68" t="s">
        <v>129</v>
      </c>
      <c r="E32" s="6">
        <f aca="true" t="shared" si="0" ref="E32:E52">6/(H142^2+H164^2)^0.5/$H$21</f>
        <v>6</v>
      </c>
      <c r="F32" s="6"/>
      <c r="G32" s="3">
        <f>IF(ABS($H76-$H75)&gt;180,ABS(360-ABS($H76-$H75))/($B98-$B97),ABS($H76-$H75)/($B98-$B97))*10</f>
        <v>2.4799572983250754E-16</v>
      </c>
      <c r="H32" s="3">
        <f aca="true" t="shared" si="1" ref="H32:H52">10*LOG((10^((IF($H$17=0,0,E186)+E$22-H$22+E$30+20*LOG(E$28/(E98^2+E$28^2)^0.5))/20))^2+(10^((IF($H$17=0,0,F186)+F$22-H$22+F$30+20*LOG(1/((1+F164*E120)^2+F142^2*E120^2)^0.5*F$28/(F$28^2+F98^2)^0.5))/20))^2+(10^((IF($H$17=0,0,G186)+G$22-H$22+G$30+20*LOG(1/((1+F164*E120)^2+F142^2*E120^2)^0.5*G$28/(G$28^2+F120^2)^0.5))/20))^2)+$L32</f>
        <v>-1.446491199829931E-15</v>
      </c>
      <c r="I32" s="71"/>
      <c r="J32" s="71"/>
      <c r="K32" s="71"/>
      <c r="L32" s="72">
        <v>0</v>
      </c>
      <c r="M32" s="79"/>
    </row>
    <row r="33" spans="1:13" ht="12" customHeight="1">
      <c r="A33" s="86"/>
      <c r="B33" s="4">
        <v>40</v>
      </c>
      <c r="C33" s="5" t="s">
        <v>130</v>
      </c>
      <c r="D33" s="68" t="s">
        <v>129</v>
      </c>
      <c r="E33" s="6">
        <f t="shared" si="0"/>
        <v>5.999999999999999</v>
      </c>
      <c r="F33" s="6"/>
      <c r="G33" s="3">
        <f aca="true" t="shared" si="2" ref="G33:G52">IF(ABS($H77-$H76)&gt;180,ABS(360-ABS($H77-$H76))/($B99-$B98),ABS($H77-$H76)/($B99-$B98))*10</f>
        <v>1.3004488408203245E-15</v>
      </c>
      <c r="H33" s="3">
        <f t="shared" si="1"/>
        <v>0</v>
      </c>
      <c r="I33" s="71"/>
      <c r="J33" s="71"/>
      <c r="K33" s="71"/>
      <c r="L33" s="72">
        <v>0</v>
      </c>
      <c r="M33" s="79"/>
    </row>
    <row r="34" spans="1:13" ht="12" customHeight="1">
      <c r="A34" s="86"/>
      <c r="B34" s="4">
        <v>50</v>
      </c>
      <c r="C34" s="5" t="s">
        <v>130</v>
      </c>
      <c r="D34" s="68" t="s">
        <v>129</v>
      </c>
      <c r="E34" s="6">
        <f t="shared" si="0"/>
        <v>5.999999999999999</v>
      </c>
      <c r="F34" s="6"/>
      <c r="G34" s="3">
        <f t="shared" si="2"/>
        <v>1.3231615612824793E-15</v>
      </c>
      <c r="H34" s="3">
        <f t="shared" si="1"/>
        <v>0</v>
      </c>
      <c r="I34" s="71"/>
      <c r="J34" s="71"/>
      <c r="K34" s="71"/>
      <c r="L34" s="72">
        <v>0</v>
      </c>
      <c r="M34" s="79"/>
    </row>
    <row r="35" spans="1:13" ht="12" customHeight="1">
      <c r="A35" s="86"/>
      <c r="B35" s="4">
        <v>70</v>
      </c>
      <c r="C35" s="5" t="s">
        <v>130</v>
      </c>
      <c r="D35" s="68" t="s">
        <v>129</v>
      </c>
      <c r="E35" s="6">
        <f t="shared" si="0"/>
        <v>5.999999999999999</v>
      </c>
      <c r="F35" s="6"/>
      <c r="G35" s="3">
        <f t="shared" si="2"/>
        <v>8.230934594832324E-16</v>
      </c>
      <c r="H35" s="3">
        <f t="shared" si="1"/>
        <v>9.64327466553287E-16</v>
      </c>
      <c r="I35" s="71"/>
      <c r="J35" s="71"/>
      <c r="K35" s="71"/>
      <c r="L35" s="72">
        <v>0</v>
      </c>
      <c r="M35" s="79"/>
    </row>
    <row r="36" spans="1:13" ht="12" customHeight="1">
      <c r="A36" s="86"/>
      <c r="B36" s="4">
        <v>100</v>
      </c>
      <c r="C36" s="5" t="s">
        <v>130</v>
      </c>
      <c r="D36" s="68" t="s">
        <v>129</v>
      </c>
      <c r="E36" s="6">
        <f t="shared" si="0"/>
        <v>5.999999999999999</v>
      </c>
      <c r="F36" s="6"/>
      <c r="G36" s="3">
        <f t="shared" si="2"/>
        <v>1.1047053097718354E-15</v>
      </c>
      <c r="H36" s="3">
        <f t="shared" si="1"/>
        <v>-4.821637332766436E-16</v>
      </c>
      <c r="I36" s="71"/>
      <c r="J36" s="71"/>
      <c r="K36" s="71"/>
      <c r="L36" s="72">
        <v>0</v>
      </c>
      <c r="M36" s="79"/>
    </row>
    <row r="37" spans="1:13" ht="12" customHeight="1">
      <c r="A37" s="86"/>
      <c r="B37" s="4">
        <v>150</v>
      </c>
      <c r="C37" s="5" t="s">
        <v>130</v>
      </c>
      <c r="D37" s="68" t="s">
        <v>129</v>
      </c>
      <c r="E37" s="6">
        <f t="shared" si="0"/>
        <v>6</v>
      </c>
      <c r="F37" s="6"/>
      <c r="G37" s="3">
        <f t="shared" si="2"/>
        <v>9.168950537337744E-16</v>
      </c>
      <c r="H37" s="3">
        <f t="shared" si="1"/>
        <v>0</v>
      </c>
      <c r="I37" s="71"/>
      <c r="J37" s="71"/>
      <c r="K37" s="71"/>
      <c r="L37" s="72">
        <v>0</v>
      </c>
      <c r="M37" s="79"/>
    </row>
    <row r="38" spans="1:13" ht="12" customHeight="1">
      <c r="A38" s="82" t="s">
        <v>167</v>
      </c>
      <c r="B38" s="4">
        <v>200</v>
      </c>
      <c r="C38" s="5" t="s">
        <v>130</v>
      </c>
      <c r="D38" s="68" t="s">
        <v>129</v>
      </c>
      <c r="E38" s="6">
        <f t="shared" si="0"/>
        <v>6</v>
      </c>
      <c r="F38" s="6"/>
      <c r="G38" s="3">
        <f t="shared" si="2"/>
        <v>2.0872407727272912E-16</v>
      </c>
      <c r="H38" s="3">
        <f t="shared" si="1"/>
        <v>0</v>
      </c>
      <c r="I38" s="71"/>
      <c r="J38" s="71"/>
      <c r="K38" s="71"/>
      <c r="L38" s="72">
        <v>0</v>
      </c>
      <c r="M38" s="79"/>
    </row>
    <row r="39" spans="1:13" ht="12" customHeight="1">
      <c r="A39" s="86"/>
      <c r="B39" s="4">
        <v>300</v>
      </c>
      <c r="C39" s="5" t="s">
        <v>130</v>
      </c>
      <c r="D39" s="68" t="s">
        <v>129</v>
      </c>
      <c r="E39" s="6">
        <f t="shared" si="0"/>
        <v>6</v>
      </c>
      <c r="F39" s="6"/>
      <c r="G39" s="3">
        <f t="shared" si="2"/>
        <v>1.152952045887456E-15</v>
      </c>
      <c r="H39" s="3">
        <f t="shared" si="1"/>
        <v>0</v>
      </c>
      <c r="I39" s="71"/>
      <c r="J39" s="71"/>
      <c r="K39" s="71"/>
      <c r="L39" s="72">
        <v>0</v>
      </c>
      <c r="M39" s="79"/>
    </row>
    <row r="40" spans="1:13" ht="12" customHeight="1">
      <c r="A40" s="86"/>
      <c r="B40" s="4">
        <v>400</v>
      </c>
      <c r="C40" s="5" t="s">
        <v>130</v>
      </c>
      <c r="D40" s="68" t="s">
        <v>129</v>
      </c>
      <c r="E40" s="6">
        <f t="shared" si="0"/>
        <v>6</v>
      </c>
      <c r="F40" s="6"/>
      <c r="G40" s="3">
        <f t="shared" si="2"/>
        <v>9.541672103896188E-16</v>
      </c>
      <c r="H40" s="3">
        <f t="shared" si="1"/>
        <v>-9.643274665532871E-16</v>
      </c>
      <c r="I40" s="71"/>
      <c r="J40" s="71"/>
      <c r="K40" s="71"/>
      <c r="L40" s="72">
        <v>0</v>
      </c>
      <c r="M40" s="79"/>
    </row>
    <row r="41" spans="1:13" ht="12" customHeight="1">
      <c r="A41" s="86"/>
      <c r="B41" s="4">
        <v>500</v>
      </c>
      <c r="C41" s="5" t="s">
        <v>130</v>
      </c>
      <c r="D41" s="68" t="s">
        <v>129</v>
      </c>
      <c r="E41" s="6">
        <f t="shared" si="0"/>
        <v>6</v>
      </c>
      <c r="F41" s="6"/>
      <c r="G41" s="3">
        <f t="shared" si="2"/>
        <v>8.348963090909168E-16</v>
      </c>
      <c r="H41" s="3">
        <f t="shared" si="1"/>
        <v>-1.446491199829931E-15</v>
      </c>
      <c r="I41" s="71"/>
      <c r="J41" s="71"/>
      <c r="K41" s="71"/>
      <c r="L41" s="72">
        <v>0</v>
      </c>
      <c r="M41" s="79"/>
    </row>
    <row r="42" spans="1:13" ht="12" customHeight="1">
      <c r="A42" s="86"/>
      <c r="B42" s="4">
        <v>700</v>
      </c>
      <c r="C42" s="5" t="s">
        <v>130</v>
      </c>
      <c r="D42" s="68" t="s">
        <v>129</v>
      </c>
      <c r="E42" s="6">
        <f t="shared" si="0"/>
        <v>6</v>
      </c>
      <c r="F42" s="6"/>
      <c r="G42" s="3">
        <f t="shared" si="2"/>
        <v>1.0336811445887538E-15</v>
      </c>
      <c r="H42" s="3">
        <f t="shared" si="1"/>
        <v>-4.821637332766436E-16</v>
      </c>
      <c r="I42" s="71"/>
      <c r="J42" s="71"/>
      <c r="K42" s="71"/>
      <c r="L42" s="72">
        <v>0</v>
      </c>
      <c r="M42" s="79"/>
    </row>
    <row r="43" spans="1:13" ht="12" customHeight="1">
      <c r="A43" s="86"/>
      <c r="B43" s="4" t="s">
        <v>31</v>
      </c>
      <c r="C43" s="5" t="s">
        <v>130</v>
      </c>
      <c r="D43" s="68" t="s">
        <v>129</v>
      </c>
      <c r="E43" s="6">
        <f t="shared" si="0"/>
        <v>6.000000000000001</v>
      </c>
      <c r="F43" s="6"/>
      <c r="G43" s="3">
        <f t="shared" si="2"/>
        <v>3.710650262626295E-16</v>
      </c>
      <c r="H43" s="3">
        <f t="shared" si="1"/>
        <v>0</v>
      </c>
      <c r="I43" s="71"/>
      <c r="J43" s="71"/>
      <c r="K43" s="71"/>
      <c r="L43" s="72">
        <v>0</v>
      </c>
      <c r="M43" s="79"/>
    </row>
    <row r="44" spans="1:13" ht="12" customHeight="1">
      <c r="A44" s="86"/>
      <c r="B44" s="4" t="s">
        <v>32</v>
      </c>
      <c r="C44" s="5" t="s">
        <v>130</v>
      </c>
      <c r="D44" s="68" t="s">
        <v>129</v>
      </c>
      <c r="E44" s="6">
        <f t="shared" si="0"/>
        <v>5.999999999999999</v>
      </c>
      <c r="F44" s="6"/>
      <c r="G44" s="3">
        <f t="shared" si="2"/>
        <v>3.1554436208840473E-32</v>
      </c>
      <c r="H44" s="3">
        <f t="shared" si="1"/>
        <v>0</v>
      </c>
      <c r="I44" s="71"/>
      <c r="J44" s="71"/>
      <c r="K44" s="71"/>
      <c r="L44" s="72">
        <v>0</v>
      </c>
      <c r="M44" s="79"/>
    </row>
    <row r="45" spans="1:13" ht="12" customHeight="1">
      <c r="A45" s="86"/>
      <c r="B45" s="4" t="s">
        <v>33</v>
      </c>
      <c r="C45" s="5" t="s">
        <v>130</v>
      </c>
      <c r="D45" s="68" t="s">
        <v>129</v>
      </c>
      <c r="E45" s="6">
        <f t="shared" si="0"/>
        <v>6</v>
      </c>
      <c r="F45" s="6"/>
      <c r="G45" s="3">
        <f t="shared" si="2"/>
        <v>6.36111473593079E-17</v>
      </c>
      <c r="H45" s="3">
        <f t="shared" si="1"/>
        <v>-1.9286549331065747E-15</v>
      </c>
      <c r="I45" s="71"/>
      <c r="J45" s="71"/>
      <c r="K45" s="71"/>
      <c r="L45" s="72">
        <v>0</v>
      </c>
      <c r="M45" s="79"/>
    </row>
    <row r="46" spans="1:13" ht="12" customHeight="1">
      <c r="A46" s="82" t="s">
        <v>115</v>
      </c>
      <c r="B46" s="4" t="s">
        <v>34</v>
      </c>
      <c r="C46" s="5" t="s">
        <v>130</v>
      </c>
      <c r="D46" s="68" t="s">
        <v>129</v>
      </c>
      <c r="E46" s="6">
        <f t="shared" si="0"/>
        <v>6</v>
      </c>
      <c r="F46" s="6"/>
      <c r="G46" s="3">
        <f t="shared" si="2"/>
        <v>0</v>
      </c>
      <c r="H46" s="3">
        <f t="shared" si="1"/>
        <v>0</v>
      </c>
      <c r="I46" s="71"/>
      <c r="J46" s="71"/>
      <c r="K46" s="71"/>
      <c r="L46" s="72">
        <v>0</v>
      </c>
      <c r="M46" s="79"/>
    </row>
    <row r="47" spans="1:13" ht="12" customHeight="1">
      <c r="A47" s="86"/>
      <c r="B47" s="4" t="s">
        <v>35</v>
      </c>
      <c r="C47" s="5" t="s">
        <v>130</v>
      </c>
      <c r="D47" s="68" t="s">
        <v>129</v>
      </c>
      <c r="E47" s="6">
        <f t="shared" si="0"/>
        <v>6</v>
      </c>
      <c r="F47" s="6"/>
      <c r="G47" s="3">
        <f t="shared" si="2"/>
        <v>0</v>
      </c>
      <c r="H47" s="3">
        <f t="shared" si="1"/>
        <v>-9.643274665532871E-16</v>
      </c>
      <c r="I47" s="71"/>
      <c r="J47" s="71"/>
      <c r="K47" s="71"/>
      <c r="L47" s="72">
        <v>0</v>
      </c>
      <c r="M47" s="79"/>
    </row>
    <row r="48" spans="1:13" ht="12" customHeight="1">
      <c r="A48" s="86"/>
      <c r="B48" s="4" t="s">
        <v>36</v>
      </c>
      <c r="C48" s="5" t="s">
        <v>130</v>
      </c>
      <c r="D48" s="68" t="s">
        <v>129</v>
      </c>
      <c r="E48" s="6">
        <f t="shared" si="0"/>
        <v>6.000000000000003</v>
      </c>
      <c r="F48" s="6"/>
      <c r="G48" s="3">
        <f t="shared" si="2"/>
        <v>6.361114735930792E-17</v>
      </c>
      <c r="H48" s="3">
        <f t="shared" si="1"/>
        <v>0</v>
      </c>
      <c r="I48" s="71"/>
      <c r="J48" s="71"/>
      <c r="K48" s="71"/>
      <c r="L48" s="72">
        <v>0</v>
      </c>
      <c r="M48" s="79"/>
    </row>
    <row r="49" spans="1:13" ht="12" customHeight="1">
      <c r="A49" s="86"/>
      <c r="B49" s="4" t="s">
        <v>37</v>
      </c>
      <c r="C49" s="5" t="s">
        <v>130</v>
      </c>
      <c r="D49" s="68" t="s">
        <v>129</v>
      </c>
      <c r="E49" s="6">
        <f t="shared" si="0"/>
        <v>6</v>
      </c>
      <c r="F49" s="6"/>
      <c r="G49" s="3">
        <f t="shared" si="2"/>
        <v>7.951393419913492E-17</v>
      </c>
      <c r="H49" s="3">
        <f t="shared" si="1"/>
        <v>-4.821637332766436E-16</v>
      </c>
      <c r="I49" s="71"/>
      <c r="J49" s="71"/>
      <c r="K49" s="71"/>
      <c r="L49" s="72">
        <v>0</v>
      </c>
      <c r="M49" s="79"/>
    </row>
    <row r="50" spans="1:13" ht="12" customHeight="1">
      <c r="A50" s="86"/>
      <c r="B50" s="4" t="s">
        <v>38</v>
      </c>
      <c r="C50" s="5" t="s">
        <v>130</v>
      </c>
      <c r="D50" s="68" t="s">
        <v>129</v>
      </c>
      <c r="E50" s="6">
        <f t="shared" si="0"/>
        <v>6.000000000000001</v>
      </c>
      <c r="F50" s="6"/>
      <c r="G50" s="3">
        <f t="shared" si="2"/>
        <v>1.0601857893217986E-17</v>
      </c>
      <c r="H50" s="3">
        <f t="shared" si="1"/>
        <v>-4.821637332766436E-16</v>
      </c>
      <c r="I50" s="71"/>
      <c r="J50" s="71"/>
      <c r="K50" s="71"/>
      <c r="L50" s="72">
        <v>0</v>
      </c>
      <c r="M50" s="79"/>
    </row>
    <row r="51" spans="1:13" ht="12" customHeight="1">
      <c r="A51" s="86"/>
      <c r="B51" s="4" t="s">
        <v>39</v>
      </c>
      <c r="C51" s="5" t="s">
        <v>130</v>
      </c>
      <c r="D51" s="68" t="s">
        <v>129</v>
      </c>
      <c r="E51" s="6">
        <f t="shared" si="0"/>
        <v>6</v>
      </c>
      <c r="F51" s="6"/>
      <c r="G51" s="3">
        <f t="shared" si="2"/>
        <v>1.2722229471861586E-17</v>
      </c>
      <c r="H51" s="3">
        <f t="shared" si="1"/>
        <v>0</v>
      </c>
      <c r="I51" s="71"/>
      <c r="J51" s="71"/>
      <c r="K51" s="71"/>
      <c r="L51" s="72">
        <v>0</v>
      </c>
      <c r="M51" s="79"/>
    </row>
    <row r="52" spans="1:13" ht="12" customHeight="1">
      <c r="A52" s="87"/>
      <c r="B52" s="4" t="s">
        <v>40</v>
      </c>
      <c r="C52" s="5" t="s">
        <v>130</v>
      </c>
      <c r="D52" s="68" t="s">
        <v>129</v>
      </c>
      <c r="E52" s="6">
        <f t="shared" si="0"/>
        <v>6</v>
      </c>
      <c r="F52" s="6"/>
      <c r="G52" s="3">
        <f t="shared" si="2"/>
        <v>0</v>
      </c>
      <c r="H52" s="3">
        <f t="shared" si="1"/>
        <v>-4.821637332766436E-16</v>
      </c>
      <c r="I52" s="71"/>
      <c r="J52" s="71"/>
      <c r="K52" s="71"/>
      <c r="L52" s="72">
        <v>0</v>
      </c>
      <c r="M52" s="80"/>
    </row>
    <row r="53" spans="1:13" ht="12" customHeight="1">
      <c r="A53" s="81" t="s">
        <v>116</v>
      </c>
      <c r="B53" s="4">
        <v>20</v>
      </c>
      <c r="C53" s="5" t="s">
        <v>130</v>
      </c>
      <c r="D53" s="2" t="s">
        <v>128</v>
      </c>
      <c r="E53" s="7">
        <f>IF($H$17=0,0,E185)+E$22-$H$22+E$30+20*LOG(E$28/(E97^2+E$28^2)^0.5)+$I53</f>
        <v>-0.00694314694364987</v>
      </c>
      <c r="F53" s="3">
        <f>IF($H$17=0,0,F185)+F$22-$H$22+F$30+20*LOG(1/((1+F163*E119)^2+F141^2*E119^2)^0.5*F$28/(F$28^2+F97^2)^0.5)+$J53</f>
        <v>-27.965859229124533</v>
      </c>
      <c r="G53" s="3">
        <f>IF($H$17=0,0,G185)+G$22-$H$22+G$30+20*LOG(1/((1+F163*E119)^2+F141^2*E119^2)^0.5*G$28/(G$28^2+F119^2)^0.5)+$K53</f>
        <v>-73.98646647906436</v>
      </c>
      <c r="H53" s="7">
        <f>20*LOG(((10^(E53/20)*COS(3.14159*E75/180)+10^(F53/20)*COS(3.14159*F75/180)+10^(G53/20)*COS(3.14159*G75/180))^2+(10^(E53/20)*SIN(3.14159*E75/180)+10^(F53/20)*SIN(3.14159*F75/180)+10^(G53/20)*SIN(3.14159*G75/180))^2)^0.5)+$L53</f>
        <v>4.5887755036785704E-07</v>
      </c>
      <c r="I53" s="72">
        <v>0</v>
      </c>
      <c r="J53" s="72">
        <v>0</v>
      </c>
      <c r="K53" s="72">
        <v>0</v>
      </c>
      <c r="L53" s="72">
        <v>0</v>
      </c>
      <c r="M53" s="78" t="s">
        <v>216</v>
      </c>
    </row>
    <row r="54" spans="1:13" ht="12" customHeight="1">
      <c r="A54" s="82"/>
      <c r="B54" s="4">
        <v>30</v>
      </c>
      <c r="C54" s="5" t="s">
        <v>130</v>
      </c>
      <c r="D54" s="2" t="s">
        <v>128</v>
      </c>
      <c r="E54" s="7">
        <f aca="true" t="shared" si="3" ref="E54:E74">IF($H$17=0,0,E186)+E$22-$H$22+E$30+20*LOG(E$28/(E98^2+E$28^2)^0.5)+$I54</f>
        <v>-0.015606500108516923</v>
      </c>
      <c r="F54" s="3">
        <f aca="true" t="shared" si="4" ref="F54:F74">IF($H$17=0,0,F186)+F$22-$H$22+F$30+20*LOG(1/((1+F164*E120)^2+F142^2*E120^2)^0.5*F$28/(F$28^2+F98^2)^0.5)+$J54</f>
        <v>-24.452833112458848</v>
      </c>
      <c r="G54" s="3">
        <f aca="true" t="shared" si="5" ref="G54:G74">IF($H$17=0,0,G186)+G$22-$H$22+G$30+20*LOG(1/((1+F164*E120)^2+F142^2*E120^2)^0.5*G$28/(G$28^2+F120^2)^0.5)+$K54</f>
        <v>-66.95161518128506</v>
      </c>
      <c r="H54" s="7">
        <f aca="true" t="shared" si="6" ref="H54:H74">20*LOG(((10^(E54/20)*COS(3.14159*E76/180)+10^(F54/20)*COS(3.14159*F76/180)+10^(G54/20)*COS(3.14159*G76/180))^2+(10^(E54/20)*SIN(3.14159*E76/180)+10^(F54/20)*SIN(3.14159*F76/180)+10^(G54/20)*SIN(3.14159*G76/180))^2)^0.5)+$L54</f>
        <v>6.860418712360317E-07</v>
      </c>
      <c r="I54" s="72">
        <v>0</v>
      </c>
      <c r="J54" s="72">
        <v>0</v>
      </c>
      <c r="K54" s="72">
        <v>0</v>
      </c>
      <c r="L54" s="72">
        <v>0</v>
      </c>
      <c r="M54" s="79"/>
    </row>
    <row r="55" spans="1:13" ht="12" customHeight="1">
      <c r="A55" s="82"/>
      <c r="B55" s="4">
        <v>40</v>
      </c>
      <c r="C55" s="5" t="s">
        <v>130</v>
      </c>
      <c r="D55" s="2" t="s">
        <v>128</v>
      </c>
      <c r="E55" s="7">
        <f t="shared" si="3"/>
        <v>-0.02770623435594946</v>
      </c>
      <c r="F55" s="3">
        <f t="shared" si="4"/>
        <v>-21.966348103212322</v>
      </c>
      <c r="G55" s="3">
        <f t="shared" si="5"/>
        <v>-61.966355439872544</v>
      </c>
      <c r="H55" s="7">
        <f t="shared" si="6"/>
        <v>9.11080312985765E-07</v>
      </c>
      <c r="I55" s="72">
        <v>0</v>
      </c>
      <c r="J55" s="72">
        <v>0</v>
      </c>
      <c r="K55" s="72">
        <v>0</v>
      </c>
      <c r="L55" s="72">
        <v>0</v>
      </c>
      <c r="M55" s="79"/>
    </row>
    <row r="56" spans="1:13" ht="12" customHeight="1">
      <c r="A56" s="82"/>
      <c r="B56" s="4">
        <v>50</v>
      </c>
      <c r="C56" s="5" t="s">
        <v>130</v>
      </c>
      <c r="D56" s="2" t="s">
        <v>128</v>
      </c>
      <c r="E56" s="7">
        <f t="shared" si="3"/>
        <v>-0.04321366518628702</v>
      </c>
      <c r="F56" s="3">
        <f t="shared" si="4"/>
        <v>-20.043899532819353</v>
      </c>
      <c r="G56" s="3">
        <f t="shared" si="5"/>
        <v>-58.10570660931844</v>
      </c>
      <c r="H56" s="7">
        <f t="shared" si="6"/>
        <v>1.1335528339301935E-06</v>
      </c>
      <c r="I56" s="72">
        <v>0</v>
      </c>
      <c r="J56" s="72">
        <v>0</v>
      </c>
      <c r="K56" s="72">
        <v>0</v>
      </c>
      <c r="L56" s="72">
        <v>0</v>
      </c>
      <c r="M56" s="79"/>
    </row>
    <row r="57" spans="1:13" ht="12" customHeight="1">
      <c r="A57" s="82"/>
      <c r="B57" s="4">
        <v>70</v>
      </c>
      <c r="C57" s="5" t="s">
        <v>130</v>
      </c>
      <c r="D57" s="2" t="s">
        <v>128</v>
      </c>
      <c r="E57" s="7">
        <f t="shared" si="3"/>
        <v>-0.08429812693814756</v>
      </c>
      <c r="F57" s="3">
        <f t="shared" si="4"/>
        <v>-17.163074571019475</v>
      </c>
      <c r="G57" s="3">
        <f t="shared" si="5"/>
        <v>-52.3023209339538</v>
      </c>
      <c r="H57" s="7">
        <f t="shared" si="6"/>
        <v>1.5691313072371808E-06</v>
      </c>
      <c r="I57" s="72">
        <v>0</v>
      </c>
      <c r="J57" s="72">
        <v>0</v>
      </c>
      <c r="K57" s="72">
        <v>0</v>
      </c>
      <c r="L57" s="72">
        <v>0</v>
      </c>
      <c r="M57" s="79"/>
    </row>
    <row r="58" spans="1:13" ht="12" customHeight="1">
      <c r="A58" s="82"/>
      <c r="B58" s="4">
        <v>100</v>
      </c>
      <c r="C58" s="5" t="s">
        <v>130</v>
      </c>
      <c r="D58" s="2" t="s">
        <v>128</v>
      </c>
      <c r="E58" s="7">
        <f t="shared" si="3"/>
        <v>-0.17033311080879368</v>
      </c>
      <c r="F58" s="3">
        <f t="shared" si="4"/>
        <v>-14.152454022240583</v>
      </c>
      <c r="G58" s="3">
        <f t="shared" si="5"/>
        <v>-46.193661185460044</v>
      </c>
      <c r="H58" s="7">
        <f t="shared" si="6"/>
        <v>2.1934209376832685E-06</v>
      </c>
      <c r="I58" s="72">
        <v>0</v>
      </c>
      <c r="J58" s="72">
        <v>0</v>
      </c>
      <c r="K58" s="72">
        <v>0</v>
      </c>
      <c r="L58" s="72">
        <v>0</v>
      </c>
      <c r="M58" s="79"/>
    </row>
    <row r="59" spans="1:13" ht="12" customHeight="1">
      <c r="A59" s="82"/>
      <c r="B59" s="4">
        <v>150</v>
      </c>
      <c r="C59" s="5" t="s">
        <v>130</v>
      </c>
      <c r="D59" s="2" t="s">
        <v>128</v>
      </c>
      <c r="E59" s="7">
        <f t="shared" si="3"/>
        <v>-0.37426437362742176</v>
      </c>
      <c r="F59" s="3">
        <f t="shared" si="4"/>
        <v>-10.8379495815935</v>
      </c>
      <c r="G59" s="3">
        <f t="shared" si="5"/>
        <v>-39.35733156369933</v>
      </c>
      <c r="H59" s="7">
        <f t="shared" si="6"/>
        <v>3.136248914344728E-06</v>
      </c>
      <c r="I59" s="72">
        <v>0</v>
      </c>
      <c r="J59" s="72">
        <v>0</v>
      </c>
      <c r="K59" s="72">
        <v>0</v>
      </c>
      <c r="L59" s="72">
        <v>0</v>
      </c>
      <c r="M59" s="79"/>
    </row>
    <row r="60" spans="1:13" ht="12" customHeight="1">
      <c r="A60" s="82"/>
      <c r="B60" s="4">
        <v>200</v>
      </c>
      <c r="C60" s="5" t="s">
        <v>130</v>
      </c>
      <c r="D60" s="2" t="s">
        <v>128</v>
      </c>
      <c r="E60" s="7">
        <f t="shared" si="3"/>
        <v>-0.6445788803167893</v>
      </c>
      <c r="F60" s="3">
        <f t="shared" si="4"/>
        <v>-8.614230185044056</v>
      </c>
      <c r="G60" s="3">
        <f t="shared" si="5"/>
        <v>-34.63483743498389</v>
      </c>
      <c r="H60" s="7">
        <f t="shared" si="6"/>
        <v>3.936726721904864E-06</v>
      </c>
      <c r="I60" s="72">
        <v>0</v>
      </c>
      <c r="J60" s="72">
        <v>0</v>
      </c>
      <c r="K60" s="72">
        <v>0</v>
      </c>
      <c r="L60" s="72">
        <v>0</v>
      </c>
      <c r="M60" s="79"/>
    </row>
    <row r="61" spans="1:13" ht="12" customHeight="1">
      <c r="A61" s="82"/>
      <c r="B61" s="4">
        <v>300</v>
      </c>
      <c r="C61" s="5" t="s">
        <v>130</v>
      </c>
      <c r="D61" s="2" t="s">
        <v>128</v>
      </c>
      <c r="E61" s="7">
        <f t="shared" si="3"/>
        <v>-1.335387141646267</v>
      </c>
      <c r="F61" s="3">
        <f t="shared" si="4"/>
        <v>-5.79673004402681</v>
      </c>
      <c r="G61" s="3">
        <f t="shared" si="5"/>
        <v>-28.29551211285302</v>
      </c>
      <c r="H61" s="7">
        <f t="shared" si="6"/>
        <v>5.097936103488895E-06</v>
      </c>
      <c r="I61" s="72">
        <v>0</v>
      </c>
      <c r="J61" s="72">
        <v>0</v>
      </c>
      <c r="K61" s="72">
        <v>0</v>
      </c>
      <c r="L61" s="72">
        <v>0</v>
      </c>
      <c r="M61" s="79"/>
    </row>
    <row r="62" spans="1:13" ht="12" customHeight="1">
      <c r="A62" s="82"/>
      <c r="B62" s="4">
        <v>400</v>
      </c>
      <c r="C62" s="5" t="s">
        <v>130</v>
      </c>
      <c r="D62" s="2" t="s">
        <v>128</v>
      </c>
      <c r="E62" s="7">
        <f t="shared" si="3"/>
        <v>-2.1484356173915424</v>
      </c>
      <c r="F62" s="3">
        <f t="shared" si="4"/>
        <v>-4.129856879399168</v>
      </c>
      <c r="G62" s="3">
        <f t="shared" si="5"/>
        <v>-24.129864216059378</v>
      </c>
      <c r="H62" s="7">
        <f t="shared" si="6"/>
        <v>5.765890999506641E-06</v>
      </c>
      <c r="I62" s="72">
        <v>0</v>
      </c>
      <c r="J62" s="72">
        <v>0</v>
      </c>
      <c r="K62" s="72">
        <v>0</v>
      </c>
      <c r="L62" s="72">
        <v>0</v>
      </c>
      <c r="M62" s="79"/>
    </row>
    <row r="63" spans="1:13" ht="12" customHeight="1">
      <c r="A63" s="82"/>
      <c r="B63" s="4">
        <v>500</v>
      </c>
      <c r="C63" s="5" t="s">
        <v>130</v>
      </c>
      <c r="D63" s="2" t="s">
        <v>128</v>
      </c>
      <c r="E63" s="7">
        <f t="shared" si="3"/>
        <v>-3.0102962883112565</v>
      </c>
      <c r="F63" s="3">
        <f t="shared" si="4"/>
        <v>-3.0776373386895504</v>
      </c>
      <c r="G63" s="3">
        <f t="shared" si="5"/>
        <v>-21.13944441518864</v>
      </c>
      <c r="H63" s="7">
        <f t="shared" si="6"/>
        <v>6.103860806734217E-06</v>
      </c>
      <c r="I63" s="72">
        <v>0</v>
      </c>
      <c r="J63" s="72">
        <v>0</v>
      </c>
      <c r="K63" s="72">
        <v>0</v>
      </c>
      <c r="L63" s="72">
        <v>0</v>
      </c>
      <c r="M63" s="79"/>
    </row>
    <row r="64" spans="1:13" ht="12" customHeight="1">
      <c r="A64" s="82"/>
      <c r="B64" s="4">
        <v>700</v>
      </c>
      <c r="C64" s="5" t="s">
        <v>130</v>
      </c>
      <c r="D64" s="2" t="s">
        <v>128</v>
      </c>
      <c r="E64" s="7">
        <f t="shared" si="3"/>
        <v>-4.712912252531984</v>
      </c>
      <c r="F64" s="3">
        <f t="shared" si="4"/>
        <v>-1.921365387504852</v>
      </c>
      <c r="G64" s="3">
        <f t="shared" si="5"/>
        <v>-17.060611750439175</v>
      </c>
      <c r="H64" s="7">
        <f t="shared" si="6"/>
        <v>6.30726850081424E-06</v>
      </c>
      <c r="I64" s="72">
        <v>0</v>
      </c>
      <c r="J64" s="72">
        <v>0</v>
      </c>
      <c r="K64" s="72">
        <v>0</v>
      </c>
      <c r="L64" s="72">
        <v>0</v>
      </c>
      <c r="M64" s="79"/>
    </row>
    <row r="65" spans="1:13" ht="12" customHeight="1">
      <c r="A65" s="82"/>
      <c r="B65" s="4" t="s">
        <v>31</v>
      </c>
      <c r="C65" s="5" t="s">
        <v>130</v>
      </c>
      <c r="D65" s="2" t="s">
        <v>128</v>
      </c>
      <c r="E65" s="7">
        <f t="shared" si="3"/>
        <v>-6.98969417403301</v>
      </c>
      <c r="F65" s="3">
        <f t="shared" si="4"/>
        <v>-1.2323905530691845</v>
      </c>
      <c r="G65" s="3">
        <f t="shared" si="5"/>
        <v>-13.273597716288648</v>
      </c>
      <c r="H65" s="7">
        <f t="shared" si="6"/>
        <v>6.331284983678402E-06</v>
      </c>
      <c r="I65" s="72">
        <v>0</v>
      </c>
      <c r="J65" s="72">
        <v>0</v>
      </c>
      <c r="K65" s="72">
        <v>0</v>
      </c>
      <c r="L65" s="72">
        <v>0</v>
      </c>
      <c r="M65" s="79"/>
    </row>
    <row r="66" spans="1:13" ht="12" customHeight="1">
      <c r="A66" s="82"/>
      <c r="B66" s="4" t="s">
        <v>32</v>
      </c>
      <c r="C66" s="5" t="s">
        <v>130</v>
      </c>
      <c r="D66" s="2" t="s">
        <v>128</v>
      </c>
      <c r="E66" s="7">
        <f t="shared" si="3"/>
        <v>-9.999993397006367</v>
      </c>
      <c r="F66" s="3">
        <f t="shared" si="4"/>
        <v>-1.0290035961199353</v>
      </c>
      <c r="G66" s="3">
        <f t="shared" si="5"/>
        <v>-9.54838557822577</v>
      </c>
      <c r="H66" s="7">
        <f t="shared" si="6"/>
        <v>6.5038637713499945E-06</v>
      </c>
      <c r="I66" s="72">
        <v>0</v>
      </c>
      <c r="J66" s="72">
        <v>0</v>
      </c>
      <c r="K66" s="72">
        <v>0</v>
      </c>
      <c r="L66" s="72">
        <v>0</v>
      </c>
      <c r="M66" s="79"/>
    </row>
    <row r="67" spans="1:13" ht="12" customHeight="1">
      <c r="A67" s="82"/>
      <c r="B67" s="4" t="s">
        <v>33</v>
      </c>
      <c r="C67" s="5" t="s">
        <v>130</v>
      </c>
      <c r="D67" s="2" t="s">
        <v>128</v>
      </c>
      <c r="E67" s="7">
        <f t="shared" si="3"/>
        <v>-12.304482308691117</v>
      </c>
      <c r="F67" s="3">
        <f t="shared" si="4"/>
        <v>-1.2323884815415969</v>
      </c>
      <c r="G67" s="3">
        <f t="shared" si="5"/>
        <v>-7.252995731481433</v>
      </c>
      <c r="H67" s="7">
        <f t="shared" si="6"/>
        <v>6.7921554223763344E-06</v>
      </c>
      <c r="I67" s="72">
        <v>0</v>
      </c>
      <c r="J67" s="72">
        <v>0</v>
      </c>
      <c r="K67" s="72">
        <v>0</v>
      </c>
      <c r="L67" s="72">
        <v>0</v>
      </c>
      <c r="M67" s="79"/>
    </row>
    <row r="68" spans="1:13" ht="12" customHeight="1">
      <c r="A68" s="82"/>
      <c r="B68" s="4" t="s">
        <v>34</v>
      </c>
      <c r="C68" s="5" t="s">
        <v>130</v>
      </c>
      <c r="D68" s="2" t="s">
        <v>128</v>
      </c>
      <c r="E68" s="7">
        <f t="shared" si="3"/>
        <v>-15.682010102298015</v>
      </c>
      <c r="F68" s="3">
        <f t="shared" si="4"/>
        <v>-2.0571900502502345</v>
      </c>
      <c r="G68" s="3">
        <f t="shared" si="5"/>
        <v>-4.555972119076443</v>
      </c>
      <c r="H68" s="7">
        <f t="shared" si="6"/>
        <v>7.158203230981356E-06</v>
      </c>
      <c r="I68" s="72">
        <v>0</v>
      </c>
      <c r="J68" s="72">
        <v>0</v>
      </c>
      <c r="K68" s="72">
        <v>0</v>
      </c>
      <c r="L68" s="72">
        <v>0</v>
      </c>
      <c r="M68" s="79"/>
    </row>
    <row r="69" spans="1:13" ht="12" customHeight="1">
      <c r="A69" s="82"/>
      <c r="B69" s="4" t="s">
        <v>35</v>
      </c>
      <c r="C69" s="5" t="s">
        <v>130</v>
      </c>
      <c r="D69" s="2" t="s">
        <v>128</v>
      </c>
      <c r="E69" s="7">
        <f t="shared" si="3"/>
        <v>-18.129126342640134</v>
      </c>
      <c r="F69" s="3">
        <f t="shared" si="4"/>
        <v>-3.0776302277727297</v>
      </c>
      <c r="G69" s="3">
        <f t="shared" si="5"/>
        <v>-3.077637564432942</v>
      </c>
      <c r="H69" s="7">
        <f t="shared" si="6"/>
        <v>7.091930740386169E-06</v>
      </c>
      <c r="I69" s="72">
        <v>0</v>
      </c>
      <c r="J69" s="72">
        <v>0</v>
      </c>
      <c r="K69" s="72">
        <v>0</v>
      </c>
      <c r="L69" s="72">
        <v>0</v>
      </c>
      <c r="M69" s="79"/>
    </row>
    <row r="70" spans="1:13" ht="12" customHeight="1">
      <c r="A70" s="82"/>
      <c r="B70" s="4" t="s">
        <v>36</v>
      </c>
      <c r="C70" s="5" t="s">
        <v>130</v>
      </c>
      <c r="D70" s="2" t="s">
        <v>128</v>
      </c>
      <c r="E70" s="7">
        <f t="shared" si="3"/>
        <v>-20.043206473806478</v>
      </c>
      <c r="F70" s="3">
        <f t="shared" si="4"/>
        <v>-4.1298480775329685</v>
      </c>
      <c r="G70" s="3">
        <f t="shared" si="5"/>
        <v>-2.1916551540320515</v>
      </c>
      <c r="H70" s="7">
        <f t="shared" si="6"/>
        <v>6.751875294922989E-06</v>
      </c>
      <c r="I70" s="72">
        <v>0</v>
      </c>
      <c r="J70" s="72">
        <v>0</v>
      </c>
      <c r="K70" s="72">
        <v>0</v>
      </c>
      <c r="L70" s="72">
        <v>0</v>
      </c>
      <c r="M70" s="79"/>
    </row>
    <row r="71" spans="1:13" ht="12" customHeight="1">
      <c r="A71" s="82"/>
      <c r="B71" s="4" t="s">
        <v>37</v>
      </c>
      <c r="C71" s="5" t="s">
        <v>130</v>
      </c>
      <c r="D71" s="2" t="s">
        <v>128</v>
      </c>
      <c r="E71" s="7">
        <f t="shared" si="3"/>
        <v>-22.94465496219768</v>
      </c>
      <c r="F71" s="3">
        <f t="shared" si="4"/>
        <v>-6.110029794450504</v>
      </c>
      <c r="G71" s="3">
        <f t="shared" si="5"/>
        <v>-1.249276157384828</v>
      </c>
      <c r="H71" s="7">
        <f t="shared" si="6"/>
        <v>5.827224073601763E-06</v>
      </c>
      <c r="I71" s="72">
        <v>0</v>
      </c>
      <c r="J71" s="72">
        <v>0</v>
      </c>
      <c r="K71" s="72">
        <v>0</v>
      </c>
      <c r="L71" s="72">
        <v>0</v>
      </c>
      <c r="M71" s="79"/>
    </row>
    <row r="72" spans="1:13" ht="12" customHeight="1">
      <c r="A72" s="82"/>
      <c r="B72" s="4" t="s">
        <v>38</v>
      </c>
      <c r="C72" s="5" t="s">
        <v>130</v>
      </c>
      <c r="D72" s="2" t="s">
        <v>128</v>
      </c>
      <c r="E72" s="7">
        <f t="shared" si="3"/>
        <v>-26.03143640783754</v>
      </c>
      <c r="F72" s="3">
        <f t="shared" si="4"/>
        <v>-8.614217572221719</v>
      </c>
      <c r="G72" s="3">
        <f t="shared" si="5"/>
        <v>-0.6554247354411795</v>
      </c>
      <c r="H72" s="7">
        <f t="shared" si="6"/>
        <v>4.59875614565958E-06</v>
      </c>
      <c r="I72" s="72">
        <v>0</v>
      </c>
      <c r="J72" s="72">
        <v>0</v>
      </c>
      <c r="K72" s="72">
        <v>0</v>
      </c>
      <c r="L72" s="72">
        <v>0</v>
      </c>
      <c r="M72" s="79"/>
    </row>
    <row r="73" spans="1:13" ht="12" customHeight="1">
      <c r="A73" s="82"/>
      <c r="B73" s="4" t="s">
        <v>39</v>
      </c>
      <c r="C73" s="5" t="s">
        <v>130</v>
      </c>
      <c r="D73" s="2" t="s">
        <v>128</v>
      </c>
      <c r="E73" s="7">
        <f t="shared" si="3"/>
        <v>-29.547240581273222</v>
      </c>
      <c r="F73" s="3">
        <f t="shared" si="4"/>
        <v>-11.78378657315097</v>
      </c>
      <c r="G73" s="3">
        <f t="shared" si="5"/>
        <v>-0.303168555256804</v>
      </c>
      <c r="H73" s="7">
        <f t="shared" si="6"/>
        <v>3.287866509402733E-06</v>
      </c>
      <c r="I73" s="72">
        <v>0</v>
      </c>
      <c r="J73" s="72">
        <v>0</v>
      </c>
      <c r="K73" s="72">
        <v>0</v>
      </c>
      <c r="L73" s="72">
        <v>0</v>
      </c>
      <c r="M73" s="79"/>
    </row>
    <row r="74" spans="1:13" ht="12" customHeight="1">
      <c r="A74" s="83"/>
      <c r="B74" s="4" t="s">
        <v>40</v>
      </c>
      <c r="C74" s="5" t="s">
        <v>130</v>
      </c>
      <c r="D74" s="2" t="s">
        <v>128</v>
      </c>
      <c r="E74" s="7">
        <f t="shared" si="3"/>
        <v>-32.04390598711534</v>
      </c>
      <c r="F74" s="3">
        <f t="shared" si="4"/>
        <v>-14.152439922443738</v>
      </c>
      <c r="G74" s="3">
        <f t="shared" si="5"/>
        <v>-0.17304717238357303</v>
      </c>
      <c r="H74" s="7">
        <f t="shared" si="6"/>
        <v>2.5278853000140154E-06</v>
      </c>
      <c r="I74" s="72">
        <v>0</v>
      </c>
      <c r="J74" s="72">
        <v>0</v>
      </c>
      <c r="K74" s="72">
        <v>0</v>
      </c>
      <c r="L74" s="72">
        <v>0</v>
      </c>
      <c r="M74" s="80"/>
    </row>
    <row r="75" spans="1:8" ht="12" customHeight="1">
      <c r="A75" s="81" t="s">
        <v>117</v>
      </c>
      <c r="B75" s="4">
        <v>20</v>
      </c>
      <c r="C75" s="5" t="s">
        <v>130</v>
      </c>
      <c r="D75" s="2" t="s">
        <v>124</v>
      </c>
      <c r="E75" s="6">
        <f>IF($H$17=0,0,E207)+180/PI()*ATAN2(E$28,-E97)</f>
        <v>-2.29060810990392</v>
      </c>
      <c r="F75" s="6">
        <f>IF($H$17=0,0,F207)+180/PI()*(ATAN2((1+F163*E119),F141*E119)+ATAN2(F$28,-F97))</f>
        <v>87.42291562179133</v>
      </c>
      <c r="G75" s="6">
        <f>IF($H$17=0,0,G207)+180/PI()*(ATAN2((1+F163*E119),F141*E119)+ATAN2(G$28,F119))</f>
        <v>177.42291562179133</v>
      </c>
      <c r="H75" s="6">
        <f>180/3.14159*ATAN2((10^(E53/20)*COS(PI()*E75/180)+10^(F53/20)*COS(PI()*F75/180)+10^(G53/20)*COS(PI()*G75/180)),(10^(E53/20)*SIN(PI()*E75/180)+10^(F53/20)*SIN(PI()*F75/180)+10^(G53/20)*SIN(PI()*G75/180)))</f>
        <v>-2.391144737543565E-15</v>
      </c>
    </row>
    <row r="76" spans="1:8" ht="12" customHeight="1">
      <c r="A76" s="82"/>
      <c r="B76" s="4">
        <v>30</v>
      </c>
      <c r="C76" s="5" t="s">
        <v>130</v>
      </c>
      <c r="D76" s="2" t="s">
        <v>124</v>
      </c>
      <c r="E76" s="6">
        <f aca="true" t="shared" si="7" ref="E76:E96">IF($H$17=0,0,E208)+180/PI()*ATAN2(E$28,-E98)</f>
        <v>-3.433627469126008</v>
      </c>
      <c r="F76" s="6">
        <f aca="true" t="shared" si="8" ref="F76:F96">IF($H$17=0,0,F208)+180/PI()*(ATAN2((1+F164*E120),F142*E120)+ATAN2(F$28,-F98))</f>
        <v>86.1366626044201</v>
      </c>
      <c r="G76" s="6">
        <f aca="true" t="shared" si="9" ref="G76:G96">IF($H$17=0,0,G208)+180/PI()*(ATAN2((1+F164*E120),F142*E120)+ATAN2(G$28,F120))</f>
        <v>176.1366626044201</v>
      </c>
      <c r="H76" s="6">
        <f aca="true" t="shared" si="10" ref="H76:H96">180/3.14159*ATAN2((10^(E54/20)*COS(PI()*E76/180)+10^(F54/20)*COS(PI()*F76/180)+10^(G54/20)*COS(PI()*G76/180)),(10^(E54/20)*SIN(PI()*E76/180)+10^(F54/20)*SIN(PI()*F76/180)+10^(G54/20)*SIN(PI()*G76/180)))</f>
        <v>-2.6391404673760724E-15</v>
      </c>
    </row>
    <row r="77" spans="1:8" ht="12" customHeight="1">
      <c r="A77" s="82"/>
      <c r="B77" s="4">
        <v>40</v>
      </c>
      <c r="C77" s="5" t="s">
        <v>130</v>
      </c>
      <c r="D77" s="2" t="s">
        <v>124</v>
      </c>
      <c r="E77" s="6">
        <f t="shared" si="7"/>
        <v>-4.573917412867886</v>
      </c>
      <c r="F77" s="6">
        <f t="shared" si="8"/>
        <v>84.85314437335698</v>
      </c>
      <c r="G77" s="6">
        <f t="shared" si="9"/>
        <v>174.853144373357</v>
      </c>
      <c r="H77" s="6">
        <f t="shared" si="10"/>
        <v>-1.3386916265557479E-15</v>
      </c>
    </row>
    <row r="78" spans="1:8" ht="12" customHeight="1">
      <c r="A78" s="82"/>
      <c r="B78" s="4">
        <v>50</v>
      </c>
      <c r="C78" s="5" t="s">
        <v>130</v>
      </c>
      <c r="D78" s="2" t="s">
        <v>124</v>
      </c>
      <c r="E78" s="6">
        <f t="shared" si="7"/>
        <v>-5.710588345848657</v>
      </c>
      <c r="F78" s="6">
        <f t="shared" si="8"/>
        <v>83.57325231353236</v>
      </c>
      <c r="G78" s="6">
        <f t="shared" si="9"/>
        <v>173.57325231353235</v>
      </c>
      <c r="H78" s="6">
        <f t="shared" si="10"/>
        <v>-1.5530065273268536E-17</v>
      </c>
    </row>
    <row r="79" spans="1:8" ht="12" customHeight="1">
      <c r="A79" s="82"/>
      <c r="B79" s="4">
        <v>70</v>
      </c>
      <c r="C79" s="5" t="s">
        <v>130</v>
      </c>
      <c r="D79" s="2" t="s">
        <v>124</v>
      </c>
      <c r="E79" s="6">
        <f t="shared" si="7"/>
        <v>-7.969603749171741</v>
      </c>
      <c r="F79" s="6">
        <f t="shared" si="8"/>
        <v>81.0278232937332</v>
      </c>
      <c r="G79" s="6">
        <f t="shared" si="9"/>
        <v>171.02782329373323</v>
      </c>
      <c r="H79" s="6">
        <f t="shared" si="10"/>
        <v>-1.6617169842397334E-15</v>
      </c>
    </row>
    <row r="80" spans="1:8" ht="12" customHeight="1">
      <c r="A80" s="82"/>
      <c r="B80" s="4">
        <v>100</v>
      </c>
      <c r="C80" s="5" t="s">
        <v>130</v>
      </c>
      <c r="D80" s="2" t="s">
        <v>124</v>
      </c>
      <c r="E80" s="6">
        <f t="shared" si="7"/>
        <v>-11.309923167159418</v>
      </c>
      <c r="F80" s="6">
        <f t="shared" si="8"/>
        <v>77.2579818578121</v>
      </c>
      <c r="G80" s="6">
        <f t="shared" si="9"/>
        <v>167.2579818578121</v>
      </c>
      <c r="H80" s="6">
        <f t="shared" si="10"/>
        <v>1.6523989450757726E-15</v>
      </c>
    </row>
    <row r="81" spans="1:8" ht="12" customHeight="1">
      <c r="A81" s="82"/>
      <c r="B81" s="4">
        <v>150</v>
      </c>
      <c r="C81" s="5" t="s">
        <v>130</v>
      </c>
      <c r="D81" s="2" t="s">
        <v>124</v>
      </c>
      <c r="E81" s="6">
        <f t="shared" si="7"/>
        <v>-16.69923091408226</v>
      </c>
      <c r="F81" s="6">
        <f t="shared" si="8"/>
        <v>71.15318546990851</v>
      </c>
      <c r="G81" s="6">
        <f t="shared" si="9"/>
        <v>161.1531854699085</v>
      </c>
      <c r="H81" s="6">
        <f t="shared" si="10"/>
        <v>-2.9320763235930997E-15</v>
      </c>
    </row>
    <row r="82" spans="1:8" ht="12" customHeight="1">
      <c r="A82" s="82"/>
      <c r="B82" s="4">
        <v>200</v>
      </c>
      <c r="C82" s="5" t="s">
        <v>130</v>
      </c>
      <c r="D82" s="2" t="s">
        <v>124</v>
      </c>
      <c r="E82" s="6">
        <f t="shared" si="7"/>
        <v>-21.801392798186228</v>
      </c>
      <c r="F82" s="6">
        <f t="shared" si="8"/>
        <v>65.33620438945138</v>
      </c>
      <c r="G82" s="6">
        <f t="shared" si="9"/>
        <v>155.3362043894514</v>
      </c>
      <c r="H82" s="6">
        <f t="shared" si="10"/>
        <v>-3.975696709956745E-15</v>
      </c>
    </row>
    <row r="83" spans="1:8" ht="12" customHeight="1">
      <c r="A83" s="82"/>
      <c r="B83" s="4">
        <v>300</v>
      </c>
      <c r="C83" s="5" t="s">
        <v>130</v>
      </c>
      <c r="D83" s="2" t="s">
        <v>124</v>
      </c>
      <c r="E83" s="6">
        <f t="shared" si="7"/>
        <v>-30.963735181035847</v>
      </c>
      <c r="F83" s="6">
        <f t="shared" si="8"/>
        <v>54.74711509951801</v>
      </c>
      <c r="G83" s="6">
        <f t="shared" si="9"/>
        <v>144.747115099518</v>
      </c>
      <c r="H83" s="6">
        <f t="shared" si="10"/>
        <v>7.553823748917815E-15</v>
      </c>
    </row>
    <row r="84" spans="1:8" ht="12" customHeight="1">
      <c r="A84" s="82"/>
      <c r="B84" s="4">
        <v>400</v>
      </c>
      <c r="C84" s="5" t="s">
        <v>130</v>
      </c>
      <c r="D84" s="2" t="s">
        <v>124</v>
      </c>
      <c r="E84" s="6">
        <f t="shared" si="7"/>
        <v>-38.65978464643619</v>
      </c>
      <c r="F84" s="6">
        <f t="shared" si="8"/>
        <v>45.62962700771517</v>
      </c>
      <c r="G84" s="6">
        <f t="shared" si="9"/>
        <v>135.6296270077152</v>
      </c>
      <c r="H84" s="6">
        <f t="shared" si="10"/>
        <v>-1.987848354978373E-15</v>
      </c>
    </row>
    <row r="85" spans="1:8" ht="12" customHeight="1">
      <c r="A85" s="82"/>
      <c r="B85" s="4">
        <v>500</v>
      </c>
      <c r="C85" s="5" t="s">
        <v>130</v>
      </c>
      <c r="D85" s="2" t="s">
        <v>124</v>
      </c>
      <c r="E85" s="6">
        <f t="shared" si="7"/>
        <v>-44.9999758021525</v>
      </c>
      <c r="F85" s="6">
        <f t="shared" si="8"/>
        <v>37.875013805336515</v>
      </c>
      <c r="G85" s="6">
        <f t="shared" si="9"/>
        <v>127.87501380533654</v>
      </c>
      <c r="H85" s="6">
        <f t="shared" si="10"/>
        <v>6.361114735930794E-15</v>
      </c>
    </row>
    <row r="86" spans="1:8" ht="12" customHeight="1">
      <c r="A86" s="82"/>
      <c r="B86" s="4">
        <v>700</v>
      </c>
      <c r="C86" s="5" t="s">
        <v>130</v>
      </c>
      <c r="D86" s="2" t="s">
        <v>124</v>
      </c>
      <c r="E86" s="6">
        <f t="shared" si="7"/>
        <v>-54.46229931816674</v>
      </c>
      <c r="F86" s="6">
        <f t="shared" si="8"/>
        <v>25.61146339276144</v>
      </c>
      <c r="G86" s="6">
        <f t="shared" si="9"/>
        <v>115.61146339276145</v>
      </c>
      <c r="H86" s="6">
        <f t="shared" si="10"/>
        <v>-1.431250815584428E-14</v>
      </c>
    </row>
    <row r="87" spans="1:8" ht="12" customHeight="1">
      <c r="A87" s="82"/>
      <c r="B87" s="4" t="s">
        <v>21</v>
      </c>
      <c r="C87" s="5" t="s">
        <v>130</v>
      </c>
      <c r="D87" s="2" t="s">
        <v>124</v>
      </c>
      <c r="E87" s="6">
        <f t="shared" si="7"/>
        <v>-63.434929464639104</v>
      </c>
      <c r="F87" s="6">
        <f t="shared" si="8"/>
        <v>12.528838454652538</v>
      </c>
      <c r="G87" s="6">
        <f t="shared" si="9"/>
        <v>102.52883845465256</v>
      </c>
      <c r="H87" s="6">
        <f t="shared" si="10"/>
        <v>-3.180557367965397E-15</v>
      </c>
    </row>
    <row r="88" spans="1:8" ht="12" customHeight="1">
      <c r="A88" s="82"/>
      <c r="B88" s="4" t="s">
        <v>22</v>
      </c>
      <c r="C88" s="5" t="s">
        <v>130</v>
      </c>
      <c r="D88" s="2" t="s">
        <v>124</v>
      </c>
      <c r="E88" s="6">
        <f t="shared" si="7"/>
        <v>-71.56503665836458</v>
      </c>
      <c r="F88" s="6">
        <f t="shared" si="8"/>
        <v>-2.1210659670396788</v>
      </c>
      <c r="G88" s="6">
        <f t="shared" si="9"/>
        <v>87.87893403296032</v>
      </c>
      <c r="H88" s="6">
        <f t="shared" si="10"/>
        <v>-3.1805573679653954E-15</v>
      </c>
    </row>
    <row r="89" spans="1:8" ht="12" customHeight="1">
      <c r="A89" s="82"/>
      <c r="B89" s="4" t="s">
        <v>23</v>
      </c>
      <c r="C89" s="5" t="s">
        <v>130</v>
      </c>
      <c r="D89" s="2" t="s">
        <v>124</v>
      </c>
      <c r="E89" s="6">
        <f t="shared" si="7"/>
        <v>-75.96374514484692</v>
      </c>
      <c r="F89" s="6">
        <f t="shared" si="8"/>
        <v>-12.528776963651808</v>
      </c>
      <c r="G89" s="6">
        <f t="shared" si="9"/>
        <v>77.47122303634819</v>
      </c>
      <c r="H89" s="6">
        <f t="shared" si="10"/>
        <v>0</v>
      </c>
    </row>
    <row r="90" spans="1:8" ht="12" customHeight="1">
      <c r="A90" s="82"/>
      <c r="B90" s="4" t="s">
        <v>24</v>
      </c>
      <c r="C90" s="5" t="s">
        <v>130</v>
      </c>
      <c r="D90" s="2" t="s">
        <v>124</v>
      </c>
      <c r="E90" s="6">
        <f t="shared" si="7"/>
        <v>-80.5376699440207</v>
      </c>
      <c r="F90" s="6">
        <f t="shared" si="8"/>
        <v>-27.407544359933873</v>
      </c>
      <c r="G90" s="6">
        <f t="shared" si="9"/>
        <v>62.592455640066134</v>
      </c>
      <c r="H90" s="6">
        <f t="shared" si="10"/>
        <v>0</v>
      </c>
    </row>
    <row r="91" spans="1:8" ht="12" customHeight="1">
      <c r="A91" s="82"/>
      <c r="B91" s="4" t="s">
        <v>25</v>
      </c>
      <c r="C91" s="5" t="s">
        <v>130</v>
      </c>
      <c r="D91" s="2" t="s">
        <v>124</v>
      </c>
      <c r="E91" s="6">
        <f t="shared" si="7"/>
        <v>-82.87497769470254</v>
      </c>
      <c r="F91" s="6">
        <f t="shared" si="8"/>
        <v>-37.87495349685503</v>
      </c>
      <c r="G91" s="6">
        <f t="shared" si="9"/>
        <v>52.125046503144986</v>
      </c>
      <c r="H91" s="6">
        <f t="shared" si="10"/>
        <v>0</v>
      </c>
    </row>
    <row r="92" spans="1:8" ht="12" customHeight="1">
      <c r="A92" s="82"/>
      <c r="B92" s="4" t="s">
        <v>26</v>
      </c>
      <c r="C92" s="5" t="s">
        <v>130</v>
      </c>
      <c r="D92" s="2" t="s">
        <v>124</v>
      </c>
      <c r="E92" s="6">
        <f t="shared" si="7"/>
        <v>-84.28940207084541</v>
      </c>
      <c r="F92" s="6">
        <f t="shared" si="8"/>
        <v>-45.62957020909702</v>
      </c>
      <c r="G92" s="6">
        <f t="shared" si="9"/>
        <v>44.37042979090299</v>
      </c>
      <c r="H92" s="6">
        <f t="shared" si="10"/>
        <v>6.3611147359307924E-15</v>
      </c>
    </row>
    <row r="93" spans="1:8" ht="12" customHeight="1">
      <c r="A93" s="82"/>
      <c r="B93" s="4" t="s">
        <v>27</v>
      </c>
      <c r="C93" s="5" t="s">
        <v>130</v>
      </c>
      <c r="D93" s="2" t="s">
        <v>124</v>
      </c>
      <c r="E93" s="6">
        <f t="shared" si="7"/>
        <v>-85.91437978073571</v>
      </c>
      <c r="F93" s="6">
        <f t="shared" si="8"/>
        <v>-56.16947763641271</v>
      </c>
      <c r="G93" s="6">
        <f t="shared" si="9"/>
        <v>33.83052236358729</v>
      </c>
      <c r="H93" s="6">
        <f t="shared" si="10"/>
        <v>-9.541672103896189E-15</v>
      </c>
    </row>
    <row r="94" spans="1:8" ht="12" customHeight="1">
      <c r="A94" s="82"/>
      <c r="B94" s="4" t="s">
        <v>28</v>
      </c>
      <c r="C94" s="5" t="s">
        <v>130</v>
      </c>
      <c r="D94" s="2" t="s">
        <v>124</v>
      </c>
      <c r="E94" s="6">
        <f t="shared" si="7"/>
        <v>-87.13759236013688</v>
      </c>
      <c r="F94" s="6">
        <f t="shared" si="8"/>
        <v>-65.33616618560926</v>
      </c>
      <c r="G94" s="6">
        <f t="shared" si="9"/>
        <v>24.66383381439075</v>
      </c>
      <c r="H94" s="6">
        <f t="shared" si="10"/>
        <v>-6.3611147359307924E-15</v>
      </c>
    </row>
    <row r="95" spans="1:8" ht="12" customHeight="1">
      <c r="A95" s="82"/>
      <c r="B95" s="4" t="s">
        <v>29</v>
      </c>
      <c r="C95" s="5" t="s">
        <v>130</v>
      </c>
      <c r="D95" s="2" t="s">
        <v>124</v>
      </c>
      <c r="E95" s="6">
        <f t="shared" si="7"/>
        <v>-88.09084595560356</v>
      </c>
      <c r="F95" s="6">
        <f t="shared" si="8"/>
        <v>-73.15941672874085</v>
      </c>
      <c r="G95" s="6">
        <f t="shared" si="9"/>
        <v>16.840583271259156</v>
      </c>
      <c r="H95" s="6">
        <f t="shared" si="10"/>
        <v>0</v>
      </c>
    </row>
    <row r="96" spans="1:8" ht="12" customHeight="1">
      <c r="A96" s="83"/>
      <c r="B96" s="4" t="s">
        <v>30</v>
      </c>
      <c r="C96" s="5" t="s">
        <v>130</v>
      </c>
      <c r="D96" s="2" t="s">
        <v>124</v>
      </c>
      <c r="E96" s="6">
        <f t="shared" si="7"/>
        <v>-88.56790260669818</v>
      </c>
      <c r="F96" s="6">
        <f t="shared" si="8"/>
        <v>-77.25796082580992</v>
      </c>
      <c r="G96" s="6">
        <f t="shared" si="9"/>
        <v>12.74203917419009</v>
      </c>
      <c r="H96" s="6">
        <f t="shared" si="10"/>
        <v>0</v>
      </c>
    </row>
    <row r="97" spans="1:8" ht="12" customHeight="1">
      <c r="A97" s="81" t="s">
        <v>118</v>
      </c>
      <c r="B97" s="4">
        <v>20</v>
      </c>
      <c r="C97" s="5" t="s">
        <v>130</v>
      </c>
      <c r="D97" s="2" t="s">
        <v>127</v>
      </c>
      <c r="E97" s="6">
        <f aca="true" t="shared" si="11" ref="E97:F118">2*3.14159*$B97*E$18*0.001</f>
        <v>0.23999979728067242</v>
      </c>
      <c r="F97" s="6">
        <f t="shared" si="11"/>
        <v>0.029999974660084052</v>
      </c>
      <c r="G97" s="6"/>
      <c r="H97" s="6"/>
    </row>
    <row r="98" spans="1:8" ht="12" customHeight="1">
      <c r="A98" s="82"/>
      <c r="B98" s="4">
        <v>30</v>
      </c>
      <c r="C98" s="5" t="s">
        <v>130</v>
      </c>
      <c r="D98" s="2" t="s">
        <v>127</v>
      </c>
      <c r="E98" s="6">
        <f t="shared" si="11"/>
        <v>0.3599996959210086</v>
      </c>
      <c r="F98" s="6">
        <f t="shared" si="11"/>
        <v>0.044999961990126076</v>
      </c>
      <c r="G98" s="6"/>
      <c r="H98" s="6"/>
    </row>
    <row r="99" spans="1:8" ht="12" customHeight="1">
      <c r="A99" s="82"/>
      <c r="B99" s="4">
        <v>40</v>
      </c>
      <c r="C99" s="5" t="s">
        <v>130</v>
      </c>
      <c r="D99" s="2" t="s">
        <v>127</v>
      </c>
      <c r="E99" s="6">
        <f t="shared" si="11"/>
        <v>0.47999959456134483</v>
      </c>
      <c r="F99" s="6">
        <f t="shared" si="11"/>
        <v>0.059999949320168104</v>
      </c>
      <c r="G99" s="6"/>
      <c r="H99" s="6"/>
    </row>
    <row r="100" spans="1:8" ht="12" customHeight="1">
      <c r="A100" s="82"/>
      <c r="B100" s="4">
        <v>50</v>
      </c>
      <c r="C100" s="5" t="s">
        <v>130</v>
      </c>
      <c r="D100" s="2" t="s">
        <v>127</v>
      </c>
      <c r="E100" s="6">
        <f t="shared" si="11"/>
        <v>0.5999994932016811</v>
      </c>
      <c r="F100" s="6">
        <f t="shared" si="11"/>
        <v>0.07499993665021014</v>
      </c>
      <c r="G100" s="6"/>
      <c r="H100" s="6"/>
    </row>
    <row r="101" spans="1:8" ht="12" customHeight="1">
      <c r="A101" s="82"/>
      <c r="B101" s="4">
        <v>70</v>
      </c>
      <c r="C101" s="5" t="s">
        <v>130</v>
      </c>
      <c r="D101" s="2" t="s">
        <v>127</v>
      </c>
      <c r="E101" s="6">
        <f t="shared" si="11"/>
        <v>0.8399992904823533</v>
      </c>
      <c r="F101" s="6">
        <f t="shared" si="11"/>
        <v>0.10499991131029417</v>
      </c>
      <c r="G101" s="6"/>
      <c r="H101" s="6"/>
    </row>
    <row r="102" spans="1:8" ht="12" customHeight="1">
      <c r="A102" s="82"/>
      <c r="B102" s="4">
        <v>100</v>
      </c>
      <c r="C102" s="5" t="s">
        <v>130</v>
      </c>
      <c r="D102" s="2" t="s">
        <v>127</v>
      </c>
      <c r="E102" s="6">
        <f t="shared" si="11"/>
        <v>1.1999989864033622</v>
      </c>
      <c r="F102" s="6">
        <f t="shared" si="11"/>
        <v>0.14999987330042028</v>
      </c>
      <c r="G102" s="6"/>
      <c r="H102" s="6"/>
    </row>
    <row r="103" spans="1:8" ht="12" customHeight="1">
      <c r="A103" s="82"/>
      <c r="B103" s="4">
        <v>150</v>
      </c>
      <c r="C103" s="5" t="s">
        <v>130</v>
      </c>
      <c r="D103" s="2" t="s">
        <v>127</v>
      </c>
      <c r="E103" s="6">
        <f t="shared" si="11"/>
        <v>1.799998479605043</v>
      </c>
      <c r="F103" s="6">
        <f t="shared" si="11"/>
        <v>0.22499980995063038</v>
      </c>
      <c r="G103" s="6"/>
      <c r="H103" s="6"/>
    </row>
    <row r="104" spans="1:8" ht="12" customHeight="1">
      <c r="A104" s="82"/>
      <c r="B104" s="4">
        <v>200</v>
      </c>
      <c r="C104" s="5" t="s">
        <v>130</v>
      </c>
      <c r="D104" s="2" t="s">
        <v>127</v>
      </c>
      <c r="E104" s="6">
        <f t="shared" si="11"/>
        <v>2.3999979728067244</v>
      </c>
      <c r="F104" s="6">
        <f t="shared" si="11"/>
        <v>0.29999974660084056</v>
      </c>
      <c r="G104" s="6"/>
      <c r="H104" s="6"/>
    </row>
    <row r="105" spans="1:8" ht="12" customHeight="1">
      <c r="A105" s="82"/>
      <c r="B105" s="4">
        <v>300</v>
      </c>
      <c r="C105" s="5" t="s">
        <v>130</v>
      </c>
      <c r="D105" s="2" t="s">
        <v>127</v>
      </c>
      <c r="E105" s="6">
        <f t="shared" si="11"/>
        <v>3.599996959210086</v>
      </c>
      <c r="F105" s="6">
        <f t="shared" si="11"/>
        <v>0.44999961990126075</v>
      </c>
      <c r="G105" s="6"/>
      <c r="H105" s="6"/>
    </row>
    <row r="106" spans="1:8" ht="12" customHeight="1">
      <c r="A106" s="82"/>
      <c r="B106" s="4">
        <v>400</v>
      </c>
      <c r="C106" s="5" t="s">
        <v>130</v>
      </c>
      <c r="D106" s="2" t="s">
        <v>127</v>
      </c>
      <c r="E106" s="6">
        <f t="shared" si="11"/>
        <v>4.799995945613449</v>
      </c>
      <c r="F106" s="6">
        <f t="shared" si="11"/>
        <v>0.5999994932016811</v>
      </c>
      <c r="G106" s="6"/>
      <c r="H106" s="6"/>
    </row>
    <row r="107" spans="1:8" ht="12" customHeight="1">
      <c r="A107" s="82"/>
      <c r="B107" s="4">
        <v>500</v>
      </c>
      <c r="C107" s="5" t="s">
        <v>130</v>
      </c>
      <c r="D107" s="2" t="s">
        <v>127</v>
      </c>
      <c r="E107" s="6">
        <f t="shared" si="11"/>
        <v>5.99999493201681</v>
      </c>
      <c r="F107" s="6">
        <f t="shared" si="11"/>
        <v>0.7499993665021012</v>
      </c>
      <c r="G107" s="6"/>
      <c r="H107" s="6"/>
    </row>
    <row r="108" spans="1:8" ht="12" customHeight="1">
      <c r="A108" s="82"/>
      <c r="B108" s="4">
        <v>700</v>
      </c>
      <c r="C108" s="5" t="s">
        <v>130</v>
      </c>
      <c r="D108" s="2" t="s">
        <v>127</v>
      </c>
      <c r="E108" s="6">
        <f t="shared" si="11"/>
        <v>8.399992904823534</v>
      </c>
      <c r="F108" s="6">
        <f t="shared" si="11"/>
        <v>1.0499991131029418</v>
      </c>
      <c r="G108" s="6"/>
      <c r="H108" s="6"/>
    </row>
    <row r="109" spans="1:8" ht="12" customHeight="1">
      <c r="A109" s="82"/>
      <c r="B109" s="4">
        <v>1000</v>
      </c>
      <c r="C109" s="5" t="s">
        <v>130</v>
      </c>
      <c r="D109" s="2" t="s">
        <v>127</v>
      </c>
      <c r="E109" s="6">
        <f t="shared" si="11"/>
        <v>11.99998986403362</v>
      </c>
      <c r="F109" s="6">
        <f t="shared" si="11"/>
        <v>1.4999987330042024</v>
      </c>
      <c r="G109" s="6"/>
      <c r="H109" s="6"/>
    </row>
    <row r="110" spans="1:8" ht="12" customHeight="1">
      <c r="A110" s="82"/>
      <c r="B110" s="4">
        <v>1500</v>
      </c>
      <c r="C110" s="5" t="s">
        <v>130</v>
      </c>
      <c r="D110" s="2" t="s">
        <v>127</v>
      </c>
      <c r="E110" s="6">
        <f t="shared" si="11"/>
        <v>17.99998479605043</v>
      </c>
      <c r="F110" s="6">
        <f t="shared" si="11"/>
        <v>2.249998099506304</v>
      </c>
      <c r="G110" s="6"/>
      <c r="H110" s="6"/>
    </row>
    <row r="111" spans="1:8" ht="12" customHeight="1">
      <c r="A111" s="82"/>
      <c r="B111" s="4">
        <v>2000</v>
      </c>
      <c r="C111" s="5" t="s">
        <v>130</v>
      </c>
      <c r="D111" s="2" t="s">
        <v>127</v>
      </c>
      <c r="E111" s="6">
        <f t="shared" si="11"/>
        <v>23.99997972806724</v>
      </c>
      <c r="F111" s="6">
        <f t="shared" si="11"/>
        <v>2.999997466008405</v>
      </c>
      <c r="G111" s="6"/>
      <c r="H111" s="6"/>
    </row>
    <row r="112" spans="1:8" ht="12" customHeight="1">
      <c r="A112" s="82"/>
      <c r="B112" s="4">
        <v>3000</v>
      </c>
      <c r="C112" s="5" t="s">
        <v>130</v>
      </c>
      <c r="D112" s="2" t="s">
        <v>127</v>
      </c>
      <c r="E112" s="6">
        <f t="shared" si="11"/>
        <v>35.99996959210086</v>
      </c>
      <c r="F112" s="6">
        <f t="shared" si="11"/>
        <v>4.499996199012608</v>
      </c>
      <c r="G112" s="6"/>
      <c r="H112" s="6"/>
    </row>
    <row r="113" spans="1:8" ht="12" customHeight="1">
      <c r="A113" s="82"/>
      <c r="B113" s="4">
        <v>4000</v>
      </c>
      <c r="C113" s="5" t="s">
        <v>130</v>
      </c>
      <c r="D113" s="2" t="s">
        <v>127</v>
      </c>
      <c r="E113" s="6">
        <f t="shared" si="11"/>
        <v>47.99995945613448</v>
      </c>
      <c r="F113" s="6">
        <f t="shared" si="11"/>
        <v>5.99999493201681</v>
      </c>
      <c r="G113" s="6"/>
      <c r="H113" s="6"/>
    </row>
    <row r="114" spans="1:8" ht="12" customHeight="1">
      <c r="A114" s="82"/>
      <c r="B114" s="4">
        <v>5000</v>
      </c>
      <c r="C114" s="5" t="s">
        <v>130</v>
      </c>
      <c r="D114" s="2" t="s">
        <v>127</v>
      </c>
      <c r="E114" s="6">
        <f t="shared" si="11"/>
        <v>59.9999493201681</v>
      </c>
      <c r="F114" s="6">
        <f t="shared" si="11"/>
        <v>7.499993665021012</v>
      </c>
      <c r="G114" s="6"/>
      <c r="H114" s="6"/>
    </row>
    <row r="115" spans="1:8" ht="12" customHeight="1">
      <c r="A115" s="82"/>
      <c r="B115" s="4">
        <v>7000</v>
      </c>
      <c r="C115" s="5" t="s">
        <v>130</v>
      </c>
      <c r="D115" s="2" t="s">
        <v>127</v>
      </c>
      <c r="E115" s="6">
        <f t="shared" si="11"/>
        <v>83.99992904823534</v>
      </c>
      <c r="F115" s="6">
        <f t="shared" si="11"/>
        <v>10.499991131029418</v>
      </c>
      <c r="G115" s="6"/>
      <c r="H115" s="6"/>
    </row>
    <row r="116" spans="1:8" ht="12" customHeight="1">
      <c r="A116" s="82"/>
      <c r="B116" s="4">
        <v>10000</v>
      </c>
      <c r="C116" s="5" t="s">
        <v>130</v>
      </c>
      <c r="D116" s="2" t="s">
        <v>127</v>
      </c>
      <c r="E116" s="6">
        <f t="shared" si="11"/>
        <v>119.9998986403362</v>
      </c>
      <c r="F116" s="6">
        <f t="shared" si="11"/>
        <v>14.999987330042025</v>
      </c>
      <c r="G116" s="6"/>
      <c r="H116" s="6"/>
    </row>
    <row r="117" spans="1:8" ht="12" customHeight="1">
      <c r="A117" s="82"/>
      <c r="B117" s="4">
        <v>15000</v>
      </c>
      <c r="C117" s="5" t="s">
        <v>130</v>
      </c>
      <c r="D117" s="2" t="s">
        <v>127</v>
      </c>
      <c r="E117" s="6">
        <f t="shared" si="11"/>
        <v>179.9998479605043</v>
      </c>
      <c r="F117" s="6">
        <f t="shared" si="11"/>
        <v>22.499980995063037</v>
      </c>
      <c r="G117" s="6"/>
      <c r="H117" s="6"/>
    </row>
    <row r="118" spans="1:8" ht="12" customHeight="1">
      <c r="A118" s="83"/>
      <c r="B118" s="4">
        <v>20000</v>
      </c>
      <c r="C118" s="5" t="s">
        <v>130</v>
      </c>
      <c r="D118" s="2" t="s">
        <v>127</v>
      </c>
      <c r="E118" s="6">
        <f t="shared" si="11"/>
        <v>239.9997972806724</v>
      </c>
      <c r="F118" s="6">
        <f t="shared" si="11"/>
        <v>29.99997466008405</v>
      </c>
      <c r="G118" s="6"/>
      <c r="H118" s="6"/>
    </row>
    <row r="119" spans="1:8" ht="12" customHeight="1">
      <c r="A119" s="81" t="s">
        <v>119</v>
      </c>
      <c r="B119" s="4">
        <v>20</v>
      </c>
      <c r="C119" s="5" t="s">
        <v>130</v>
      </c>
      <c r="D119" s="2" t="s">
        <v>127</v>
      </c>
      <c r="E119" s="6">
        <f aca="true" t="shared" si="12" ref="E119:F140">1/(2*3.14159*$B97*E$19/1000000)</f>
        <v>150.00012669968677</v>
      </c>
      <c r="F119" s="6">
        <f t="shared" si="12"/>
        <v>1200.0010135974942</v>
      </c>
      <c r="G119" s="6"/>
      <c r="H119" s="6"/>
    </row>
    <row r="120" spans="1:8" ht="12" customHeight="1">
      <c r="A120" s="82"/>
      <c r="B120" s="4">
        <v>30</v>
      </c>
      <c r="C120" s="5" t="s">
        <v>130</v>
      </c>
      <c r="D120" s="2" t="s">
        <v>127</v>
      </c>
      <c r="E120" s="6">
        <f t="shared" si="12"/>
        <v>100.00008446645785</v>
      </c>
      <c r="F120" s="6">
        <f t="shared" si="12"/>
        <v>800.0006757316628</v>
      </c>
      <c r="G120" s="6"/>
      <c r="H120" s="6"/>
    </row>
    <row r="121" spans="1:8" ht="12" customHeight="1">
      <c r="A121" s="82"/>
      <c r="B121" s="4">
        <v>40</v>
      </c>
      <c r="C121" s="5" t="s">
        <v>130</v>
      </c>
      <c r="D121" s="2" t="s">
        <v>127</v>
      </c>
      <c r="E121" s="6">
        <f t="shared" si="12"/>
        <v>75.00006334984339</v>
      </c>
      <c r="F121" s="6">
        <f t="shared" si="12"/>
        <v>600.0005067987471</v>
      </c>
      <c r="G121" s="6"/>
      <c r="H121" s="6"/>
    </row>
    <row r="122" spans="1:8" ht="12" customHeight="1">
      <c r="A122" s="82"/>
      <c r="B122" s="4">
        <v>50</v>
      </c>
      <c r="C122" s="5" t="s">
        <v>130</v>
      </c>
      <c r="D122" s="2" t="s">
        <v>127</v>
      </c>
      <c r="E122" s="6">
        <f t="shared" si="12"/>
        <v>60.000050679874704</v>
      </c>
      <c r="F122" s="6">
        <f t="shared" si="12"/>
        <v>480.00040543899763</v>
      </c>
      <c r="G122" s="6"/>
      <c r="H122" s="6"/>
    </row>
    <row r="123" spans="1:8" ht="12" customHeight="1">
      <c r="A123" s="82"/>
      <c r="B123" s="4">
        <v>70</v>
      </c>
      <c r="C123" s="5" t="s">
        <v>130</v>
      </c>
      <c r="D123" s="2" t="s">
        <v>127</v>
      </c>
      <c r="E123" s="6">
        <f t="shared" si="12"/>
        <v>42.85717905705337</v>
      </c>
      <c r="F123" s="6">
        <f t="shared" si="12"/>
        <v>342.857432456427</v>
      </c>
      <c r="G123" s="6"/>
      <c r="H123" s="6"/>
    </row>
    <row r="124" spans="1:8" ht="12" customHeight="1">
      <c r="A124" s="82"/>
      <c r="B124" s="4">
        <v>100</v>
      </c>
      <c r="C124" s="5" t="s">
        <v>130</v>
      </c>
      <c r="D124" s="2" t="s">
        <v>127</v>
      </c>
      <c r="E124" s="6">
        <f t="shared" si="12"/>
        <v>30.000025339937352</v>
      </c>
      <c r="F124" s="6">
        <f t="shared" si="12"/>
        <v>240.00020271949882</v>
      </c>
      <c r="G124" s="6"/>
      <c r="H124" s="6"/>
    </row>
    <row r="125" spans="1:8" ht="12" customHeight="1">
      <c r="A125" s="82"/>
      <c r="B125" s="4">
        <v>150</v>
      </c>
      <c r="C125" s="5" t="s">
        <v>130</v>
      </c>
      <c r="D125" s="2" t="s">
        <v>127</v>
      </c>
      <c r="E125" s="6">
        <f t="shared" si="12"/>
        <v>20.00001689329157</v>
      </c>
      <c r="F125" s="6">
        <f t="shared" si="12"/>
        <v>160.00013514633255</v>
      </c>
      <c r="G125" s="6"/>
      <c r="H125" s="6"/>
    </row>
    <row r="126" spans="1:8" ht="12" customHeight="1">
      <c r="A126" s="82"/>
      <c r="B126" s="4">
        <v>200</v>
      </c>
      <c r="C126" s="5" t="s">
        <v>130</v>
      </c>
      <c r="D126" s="2" t="s">
        <v>127</v>
      </c>
      <c r="E126" s="6">
        <f t="shared" si="12"/>
        <v>15.000012669968676</v>
      </c>
      <c r="F126" s="6">
        <f t="shared" si="12"/>
        <v>120.00010135974941</v>
      </c>
      <c r="G126" s="6"/>
      <c r="H126" s="6"/>
    </row>
    <row r="127" spans="1:8" ht="12" customHeight="1">
      <c r="A127" s="82"/>
      <c r="B127" s="4">
        <v>300</v>
      </c>
      <c r="C127" s="5" t="s">
        <v>130</v>
      </c>
      <c r="D127" s="2" t="s">
        <v>127</v>
      </c>
      <c r="E127" s="6">
        <f t="shared" si="12"/>
        <v>10.000008446645785</v>
      </c>
      <c r="F127" s="6">
        <f t="shared" si="12"/>
        <v>80.00006757316628</v>
      </c>
      <c r="G127" s="6"/>
      <c r="H127" s="6"/>
    </row>
    <row r="128" spans="1:8" ht="12" customHeight="1">
      <c r="A128" s="82"/>
      <c r="B128" s="4">
        <v>400</v>
      </c>
      <c r="C128" s="5" t="s">
        <v>130</v>
      </c>
      <c r="D128" s="2" t="s">
        <v>127</v>
      </c>
      <c r="E128" s="6">
        <f t="shared" si="12"/>
        <v>7.500006334984338</v>
      </c>
      <c r="F128" s="6">
        <f t="shared" si="12"/>
        <v>60.000050679874704</v>
      </c>
      <c r="G128" s="6"/>
      <c r="H128" s="6"/>
    </row>
    <row r="129" spans="1:8" ht="12" customHeight="1">
      <c r="A129" s="82"/>
      <c r="B129" s="4">
        <v>500</v>
      </c>
      <c r="C129" s="5" t="s">
        <v>130</v>
      </c>
      <c r="D129" s="2" t="s">
        <v>127</v>
      </c>
      <c r="E129" s="6">
        <f t="shared" si="12"/>
        <v>6.000005067987472</v>
      </c>
      <c r="F129" s="6">
        <f t="shared" si="12"/>
        <v>48.00004054389978</v>
      </c>
      <c r="G129" s="6"/>
      <c r="H129" s="6"/>
    </row>
    <row r="130" spans="1:8" ht="12" customHeight="1">
      <c r="A130" s="82"/>
      <c r="B130" s="4">
        <v>700</v>
      </c>
      <c r="C130" s="5" t="s">
        <v>130</v>
      </c>
      <c r="D130" s="2" t="s">
        <v>127</v>
      </c>
      <c r="E130" s="6">
        <f t="shared" si="12"/>
        <v>4.2857179057053365</v>
      </c>
      <c r="F130" s="6">
        <f t="shared" si="12"/>
        <v>34.28574324564269</v>
      </c>
      <c r="G130" s="6"/>
      <c r="H130" s="6"/>
    </row>
    <row r="131" spans="1:8" ht="12" customHeight="1">
      <c r="A131" s="82"/>
      <c r="B131" s="4" t="s">
        <v>31</v>
      </c>
      <c r="C131" s="5" t="s">
        <v>130</v>
      </c>
      <c r="D131" s="2" t="s">
        <v>127</v>
      </c>
      <c r="E131" s="6">
        <f t="shared" si="12"/>
        <v>3.000002533993736</v>
      </c>
      <c r="F131" s="6">
        <f t="shared" si="12"/>
        <v>24.00002027194989</v>
      </c>
      <c r="G131" s="6"/>
      <c r="H131" s="6"/>
    </row>
    <row r="132" spans="1:8" ht="12" customHeight="1">
      <c r="A132" s="82"/>
      <c r="B132" s="4" t="s">
        <v>32</v>
      </c>
      <c r="C132" s="5" t="s">
        <v>130</v>
      </c>
      <c r="D132" s="2" t="s">
        <v>127</v>
      </c>
      <c r="E132" s="6">
        <f t="shared" si="12"/>
        <v>2.000001689329157</v>
      </c>
      <c r="F132" s="6">
        <f t="shared" si="12"/>
        <v>16.000013514633256</v>
      </c>
      <c r="G132" s="6"/>
      <c r="H132" s="6"/>
    </row>
    <row r="133" spans="1:8" ht="12" customHeight="1">
      <c r="A133" s="82"/>
      <c r="B133" s="4" t="s">
        <v>33</v>
      </c>
      <c r="C133" s="5" t="s">
        <v>130</v>
      </c>
      <c r="D133" s="2" t="s">
        <v>127</v>
      </c>
      <c r="E133" s="6">
        <f t="shared" si="12"/>
        <v>1.500001266996868</v>
      </c>
      <c r="F133" s="6">
        <f t="shared" si="12"/>
        <v>12.000010135974945</v>
      </c>
      <c r="G133" s="6"/>
      <c r="H133" s="6"/>
    </row>
    <row r="134" spans="1:8" ht="12" customHeight="1">
      <c r="A134" s="82"/>
      <c r="B134" s="4" t="s">
        <v>34</v>
      </c>
      <c r="C134" s="5" t="s">
        <v>130</v>
      </c>
      <c r="D134" s="2" t="s">
        <v>127</v>
      </c>
      <c r="E134" s="6">
        <f t="shared" si="12"/>
        <v>1.0000008446645785</v>
      </c>
      <c r="F134" s="6">
        <f t="shared" si="12"/>
        <v>8.000006757316628</v>
      </c>
      <c r="G134" s="6"/>
      <c r="H134" s="6"/>
    </row>
    <row r="135" spans="1:8" ht="12" customHeight="1">
      <c r="A135" s="82"/>
      <c r="B135" s="4" t="s">
        <v>35</v>
      </c>
      <c r="C135" s="5" t="s">
        <v>130</v>
      </c>
      <c r="D135" s="2" t="s">
        <v>127</v>
      </c>
      <c r="E135" s="6">
        <f t="shared" si="12"/>
        <v>0.750000633498434</v>
      </c>
      <c r="F135" s="6">
        <f t="shared" si="12"/>
        <v>6.000005067987472</v>
      </c>
      <c r="G135" s="6"/>
      <c r="H135" s="6"/>
    </row>
    <row r="136" spans="1:8" ht="12" customHeight="1">
      <c r="A136" s="82"/>
      <c r="B136" s="4" t="s">
        <v>36</v>
      </c>
      <c r="C136" s="5" t="s">
        <v>130</v>
      </c>
      <c r="D136" s="2" t="s">
        <v>127</v>
      </c>
      <c r="E136" s="6">
        <f t="shared" si="12"/>
        <v>0.6000005067987472</v>
      </c>
      <c r="F136" s="6">
        <f t="shared" si="12"/>
        <v>4.800004054389977</v>
      </c>
      <c r="G136" s="6"/>
      <c r="H136" s="6"/>
    </row>
    <row r="137" spans="1:8" ht="12" customHeight="1">
      <c r="A137" s="82"/>
      <c r="B137" s="4" t="s">
        <v>37</v>
      </c>
      <c r="C137" s="5" t="s">
        <v>130</v>
      </c>
      <c r="D137" s="2" t="s">
        <v>127</v>
      </c>
      <c r="E137" s="6">
        <f t="shared" si="12"/>
        <v>0.4285717905705337</v>
      </c>
      <c r="F137" s="6">
        <f t="shared" si="12"/>
        <v>3.4285743245642695</v>
      </c>
      <c r="G137" s="6"/>
      <c r="H137" s="6"/>
    </row>
    <row r="138" spans="1:8" ht="12" customHeight="1">
      <c r="A138" s="82"/>
      <c r="B138" s="4" t="s">
        <v>38</v>
      </c>
      <c r="C138" s="5" t="s">
        <v>130</v>
      </c>
      <c r="D138" s="2" t="s">
        <v>127</v>
      </c>
      <c r="E138" s="6">
        <f t="shared" si="12"/>
        <v>0.3000002533993736</v>
      </c>
      <c r="F138" s="6">
        <f t="shared" si="12"/>
        <v>2.4000020271949887</v>
      </c>
      <c r="G138" s="6"/>
      <c r="H138" s="6"/>
    </row>
    <row r="139" spans="1:8" ht="12" customHeight="1">
      <c r="A139" s="82"/>
      <c r="B139" s="4" t="s">
        <v>39</v>
      </c>
      <c r="C139" s="5" t="s">
        <v>130</v>
      </c>
      <c r="D139" s="2" t="s">
        <v>127</v>
      </c>
      <c r="E139" s="6">
        <f t="shared" si="12"/>
        <v>0.20000016893291567</v>
      </c>
      <c r="F139" s="6">
        <f t="shared" si="12"/>
        <v>1.6000013514633253</v>
      </c>
      <c r="G139" s="6"/>
      <c r="H139" s="6"/>
    </row>
    <row r="140" spans="1:8" ht="12" customHeight="1">
      <c r="A140" s="83"/>
      <c r="B140" s="4" t="s">
        <v>40</v>
      </c>
      <c r="C140" s="5" t="s">
        <v>130</v>
      </c>
      <c r="D140" s="2" t="s">
        <v>127</v>
      </c>
      <c r="E140" s="6">
        <f t="shared" si="12"/>
        <v>0.1500001266996868</v>
      </c>
      <c r="F140" s="6">
        <f t="shared" si="12"/>
        <v>1.2000010135974943</v>
      </c>
      <c r="G140" s="6"/>
      <c r="H140" s="6"/>
    </row>
    <row r="141" spans="1:8" ht="12" customHeight="1">
      <c r="A141" s="81" t="s">
        <v>120</v>
      </c>
      <c r="B141" s="4">
        <v>20</v>
      </c>
      <c r="C141" s="5" t="s">
        <v>130</v>
      </c>
      <c r="D141" s="67" t="s">
        <v>126</v>
      </c>
      <c r="E141" s="6">
        <f>(F141*(1+F163*E119)-F141*F163*E119)/((1+F163*E119)^2+F141^2*E119^2)</f>
        <v>0.00026624023252704585</v>
      </c>
      <c r="F141" s="7">
        <f>F$28/(F$28^2+F97^2)+G$28/(G$28^2+F119^2)</f>
        <v>0.16666666666666669</v>
      </c>
      <c r="G141" s="6"/>
      <c r="H141" s="6">
        <f>E$28/(E$28^2+E97^2)+E141</f>
        <v>0.16666666666666669</v>
      </c>
    </row>
    <row r="142" spans="1:8" ht="12" customHeight="1">
      <c r="A142" s="82"/>
      <c r="B142" s="4">
        <v>30</v>
      </c>
      <c r="C142" s="5" t="s">
        <v>130</v>
      </c>
      <c r="D142" s="67" t="s">
        <v>126</v>
      </c>
      <c r="E142" s="6">
        <f aca="true" t="shared" si="13" ref="E142:E162">(F142*(1+F164*E120)-F142*F164*E120)/((1+F164*E120)^2+F142^2*E120^2)</f>
        <v>0.0005978467417692717</v>
      </c>
      <c r="F142" s="7">
        <f aca="true" t="shared" si="14" ref="F142:F162">F$28/(F$28^2+F98^2)+G$28/(G$28^2+F120^2)</f>
        <v>0.16666666666666669</v>
      </c>
      <c r="G142" s="6"/>
      <c r="H142" s="6">
        <f aca="true" t="shared" si="15" ref="H142:H161">E$28/(E$28^2+E98^2)+E142</f>
        <v>0.16666666666666666</v>
      </c>
    </row>
    <row r="143" spans="1:8" ht="12" customHeight="1">
      <c r="A143" s="82"/>
      <c r="B143" s="4">
        <v>40</v>
      </c>
      <c r="C143" s="5" t="s">
        <v>130</v>
      </c>
      <c r="D143" s="67" t="s">
        <v>126</v>
      </c>
      <c r="E143" s="6">
        <f t="shared" si="13"/>
        <v>0.0010598816337211482</v>
      </c>
      <c r="F143" s="7">
        <f t="shared" si="14"/>
        <v>0.16666666666666669</v>
      </c>
      <c r="G143" s="6"/>
      <c r="H143" s="6">
        <f t="shared" si="15"/>
        <v>0.16666666666666669</v>
      </c>
    </row>
    <row r="144" spans="1:8" ht="12" customHeight="1">
      <c r="A144" s="82"/>
      <c r="B144" s="4">
        <v>50</v>
      </c>
      <c r="C144" s="5" t="s">
        <v>130</v>
      </c>
      <c r="D144" s="67" t="s">
        <v>126</v>
      </c>
      <c r="E144" s="6">
        <f t="shared" si="13"/>
        <v>0.0016501622564339367</v>
      </c>
      <c r="F144" s="7">
        <f t="shared" si="14"/>
        <v>0.16666666666666666</v>
      </c>
      <c r="G144" s="6"/>
      <c r="H144" s="6">
        <f t="shared" si="15"/>
        <v>0.16666666666666669</v>
      </c>
    </row>
    <row r="145" spans="1:8" ht="12" customHeight="1">
      <c r="A145" s="82"/>
      <c r="B145" s="4">
        <v>70</v>
      </c>
      <c r="C145" s="5" t="s">
        <v>130</v>
      </c>
      <c r="D145" s="67" t="s">
        <v>126</v>
      </c>
      <c r="E145" s="6">
        <f t="shared" si="13"/>
        <v>0.003203865490663977</v>
      </c>
      <c r="F145" s="7">
        <f t="shared" si="14"/>
        <v>0.16666666666666666</v>
      </c>
      <c r="G145" s="6"/>
      <c r="H145" s="6">
        <f t="shared" si="15"/>
        <v>0.16666666666666669</v>
      </c>
    </row>
    <row r="146" spans="1:8" ht="12" customHeight="1">
      <c r="A146" s="82"/>
      <c r="B146" s="4">
        <v>100</v>
      </c>
      <c r="C146" s="5" t="s">
        <v>130</v>
      </c>
      <c r="D146" s="67" t="s">
        <v>126</v>
      </c>
      <c r="E146" s="6">
        <f t="shared" si="13"/>
        <v>0.006410245997737141</v>
      </c>
      <c r="F146" s="7">
        <f t="shared" si="14"/>
        <v>0.16666666666666666</v>
      </c>
      <c r="G146" s="6"/>
      <c r="H146" s="6">
        <f t="shared" si="15"/>
        <v>0.16666666666666669</v>
      </c>
    </row>
    <row r="147" spans="1:8" ht="12" customHeight="1">
      <c r="A147" s="82"/>
      <c r="B147" s="4">
        <v>150</v>
      </c>
      <c r="C147" s="5" t="s">
        <v>130</v>
      </c>
      <c r="D147" s="67" t="s">
        <v>126</v>
      </c>
      <c r="E147" s="6">
        <f t="shared" si="13"/>
        <v>0.013761446561814003</v>
      </c>
      <c r="F147" s="7">
        <f t="shared" si="14"/>
        <v>0.16666666666666666</v>
      </c>
      <c r="G147" s="6"/>
      <c r="H147" s="6">
        <f t="shared" si="15"/>
        <v>0.16666666666666666</v>
      </c>
    </row>
    <row r="148" spans="1:8" ht="12" customHeight="1">
      <c r="A148" s="82"/>
      <c r="B148" s="4">
        <v>200</v>
      </c>
      <c r="C148" s="5" t="s">
        <v>130</v>
      </c>
      <c r="D148" s="67" t="s">
        <v>126</v>
      </c>
      <c r="E148" s="6">
        <f t="shared" si="13"/>
        <v>0.022988472268580855</v>
      </c>
      <c r="F148" s="7">
        <f t="shared" si="14"/>
        <v>0.16666666666666666</v>
      </c>
      <c r="G148" s="6"/>
      <c r="H148" s="6">
        <f t="shared" si="15"/>
        <v>0.16666666666666666</v>
      </c>
    </row>
    <row r="149" spans="1:8" ht="12" customHeight="1">
      <c r="A149" s="82"/>
      <c r="B149" s="4">
        <v>300</v>
      </c>
      <c r="C149" s="5" t="s">
        <v>130</v>
      </c>
      <c r="D149" s="67" t="s">
        <v>126</v>
      </c>
      <c r="E149" s="6">
        <f t="shared" si="13"/>
        <v>0.04411759225796588</v>
      </c>
      <c r="F149" s="7">
        <f t="shared" si="14"/>
        <v>0.16666666666666663</v>
      </c>
      <c r="G149" s="6"/>
      <c r="H149" s="6">
        <f t="shared" si="15"/>
        <v>0.16666666666666666</v>
      </c>
    </row>
    <row r="150" spans="1:8" ht="12" customHeight="1">
      <c r="A150" s="82"/>
      <c r="B150" s="4">
        <v>400</v>
      </c>
      <c r="C150" s="5" t="s">
        <v>130</v>
      </c>
      <c r="D150" s="67" t="s">
        <v>126</v>
      </c>
      <c r="E150" s="6">
        <f t="shared" si="13"/>
        <v>0.06504058340955264</v>
      </c>
      <c r="F150" s="7">
        <f t="shared" si="14"/>
        <v>0.16666666666666669</v>
      </c>
      <c r="G150" s="6"/>
      <c r="H150" s="6">
        <f t="shared" si="15"/>
        <v>0.16666666666666666</v>
      </c>
    </row>
    <row r="151" spans="1:8" ht="12" customHeight="1">
      <c r="A151" s="82"/>
      <c r="B151" s="4">
        <v>500</v>
      </c>
      <c r="C151" s="5" t="s">
        <v>130</v>
      </c>
      <c r="D151" s="67" t="s">
        <v>126</v>
      </c>
      <c r="E151" s="6">
        <f t="shared" si="13"/>
        <v>0.08333326294464817</v>
      </c>
      <c r="F151" s="7">
        <f t="shared" si="14"/>
        <v>0.16666666666666666</v>
      </c>
      <c r="G151" s="6"/>
      <c r="H151" s="6">
        <f t="shared" si="15"/>
        <v>0.16666666666666666</v>
      </c>
    </row>
    <row r="152" spans="1:8" ht="12" customHeight="1">
      <c r="A152" s="82"/>
      <c r="B152" s="4">
        <v>700</v>
      </c>
      <c r="C152" s="5" t="s">
        <v>130</v>
      </c>
      <c r="D152" s="67" t="s">
        <v>126</v>
      </c>
      <c r="E152" s="6">
        <f t="shared" si="13"/>
        <v>0.110360297375581</v>
      </c>
      <c r="F152" s="7">
        <f t="shared" si="14"/>
        <v>0.16666666666666666</v>
      </c>
      <c r="G152" s="6"/>
      <c r="H152" s="6">
        <f t="shared" si="15"/>
        <v>0.16666666666666666</v>
      </c>
    </row>
    <row r="153" spans="1:8" ht="12" customHeight="1">
      <c r="A153" s="82"/>
      <c r="B153" s="4" t="s">
        <v>31</v>
      </c>
      <c r="C153" s="5" t="s">
        <v>130</v>
      </c>
      <c r="D153" s="67" t="s">
        <v>126</v>
      </c>
      <c r="E153" s="6">
        <f t="shared" si="13"/>
        <v>0.133333288284552</v>
      </c>
      <c r="F153" s="7">
        <f t="shared" si="14"/>
        <v>0.16666666666666666</v>
      </c>
      <c r="G153" s="6"/>
      <c r="H153" s="6">
        <f t="shared" si="15"/>
        <v>0.16666666666666663</v>
      </c>
    </row>
    <row r="154" spans="1:8" ht="12" customHeight="1">
      <c r="A154" s="82"/>
      <c r="B154" s="4" t="s">
        <v>32</v>
      </c>
      <c r="C154" s="5" t="s">
        <v>130</v>
      </c>
      <c r="D154" s="67" t="s">
        <v>126</v>
      </c>
      <c r="E154" s="6">
        <f t="shared" si="13"/>
        <v>0.14999997466005624</v>
      </c>
      <c r="F154" s="7">
        <f t="shared" si="14"/>
        <v>0.16666666666666669</v>
      </c>
      <c r="G154" s="6"/>
      <c r="H154" s="6">
        <f t="shared" si="15"/>
        <v>0.16666666666666669</v>
      </c>
    </row>
    <row r="155" spans="1:8" ht="12" customHeight="1">
      <c r="A155" s="82"/>
      <c r="B155" s="4" t="s">
        <v>33</v>
      </c>
      <c r="C155" s="5" t="s">
        <v>130</v>
      </c>
      <c r="D155" s="67" t="s">
        <v>126</v>
      </c>
      <c r="E155" s="6">
        <f t="shared" si="13"/>
        <v>0.15686272951022187</v>
      </c>
      <c r="F155" s="7">
        <f t="shared" si="14"/>
        <v>0.16666666666666666</v>
      </c>
      <c r="G155" s="6"/>
      <c r="H155" s="6">
        <f t="shared" si="15"/>
        <v>0.16666666666666666</v>
      </c>
    </row>
    <row r="156" spans="1:8" ht="12" customHeight="1">
      <c r="A156" s="82"/>
      <c r="B156" s="4" t="s">
        <v>34</v>
      </c>
      <c r="C156" s="5" t="s">
        <v>130</v>
      </c>
      <c r="D156" s="67" t="s">
        <v>126</v>
      </c>
      <c r="E156" s="6">
        <f t="shared" si="13"/>
        <v>0.16216215475823317</v>
      </c>
      <c r="F156" s="7">
        <f t="shared" si="14"/>
        <v>0.16666666666666666</v>
      </c>
      <c r="G156" s="6"/>
      <c r="H156" s="6">
        <f t="shared" si="15"/>
        <v>0.16666666666666666</v>
      </c>
    </row>
    <row r="157" spans="1:8" ht="12" customHeight="1">
      <c r="A157" s="82"/>
      <c r="B157" s="4" t="s">
        <v>35</v>
      </c>
      <c r="C157" s="5" t="s">
        <v>130</v>
      </c>
      <c r="D157" s="67" t="s">
        <v>126</v>
      </c>
      <c r="E157" s="6">
        <f t="shared" si="13"/>
        <v>0.1641025598375894</v>
      </c>
      <c r="F157" s="7">
        <f t="shared" si="14"/>
        <v>0.16666666666666669</v>
      </c>
      <c r="G157" s="6"/>
      <c r="H157" s="6">
        <f t="shared" si="15"/>
        <v>0.16666666666666666</v>
      </c>
    </row>
    <row r="158" spans="1:8" ht="12" customHeight="1">
      <c r="A158" s="82"/>
      <c r="B158" s="4" t="s">
        <v>36</v>
      </c>
      <c r="C158" s="5" t="s">
        <v>130</v>
      </c>
      <c r="D158" s="67" t="s">
        <v>126</v>
      </c>
      <c r="E158" s="6">
        <f t="shared" si="13"/>
        <v>0.16501649889009268</v>
      </c>
      <c r="F158" s="7">
        <f t="shared" si="14"/>
        <v>0.16666666666666663</v>
      </c>
      <c r="G158" s="6"/>
      <c r="H158" s="6">
        <f t="shared" si="15"/>
        <v>0.1666666666666666</v>
      </c>
    </row>
    <row r="159" spans="1:8" ht="12" customHeight="1">
      <c r="A159" s="82"/>
      <c r="B159" s="4" t="s">
        <v>37</v>
      </c>
      <c r="C159" s="5" t="s">
        <v>130</v>
      </c>
      <c r="D159" s="67" t="s">
        <v>126</v>
      </c>
      <c r="E159" s="6">
        <f t="shared" si="13"/>
        <v>0.1658206415560452</v>
      </c>
      <c r="F159" s="7">
        <f t="shared" si="14"/>
        <v>0.16666666666666666</v>
      </c>
      <c r="G159" s="6"/>
      <c r="H159" s="6">
        <f t="shared" si="15"/>
        <v>0.16666666666666666</v>
      </c>
    </row>
    <row r="160" spans="1:8" ht="12" customHeight="1">
      <c r="A160" s="82"/>
      <c r="B160" s="4" t="s">
        <v>38</v>
      </c>
      <c r="C160" s="5" t="s">
        <v>130</v>
      </c>
      <c r="D160" s="67" t="s">
        <v>126</v>
      </c>
      <c r="E160" s="6">
        <f t="shared" si="13"/>
        <v>0.166251038368613</v>
      </c>
      <c r="F160" s="7">
        <f t="shared" si="14"/>
        <v>0.16666666666666666</v>
      </c>
      <c r="G160" s="6"/>
      <c r="H160" s="6">
        <f t="shared" si="15"/>
        <v>0.16666666666666663</v>
      </c>
    </row>
    <row r="161" spans="1:8" ht="12" customHeight="1">
      <c r="A161" s="82"/>
      <c r="B161" s="4" t="s">
        <v>39</v>
      </c>
      <c r="C161" s="5" t="s">
        <v>130</v>
      </c>
      <c r="D161" s="67" t="s">
        <v>126</v>
      </c>
      <c r="E161" s="6">
        <f t="shared" si="13"/>
        <v>0.16648168670228358</v>
      </c>
      <c r="F161" s="7">
        <f t="shared" si="14"/>
        <v>0.16666666666666666</v>
      </c>
      <c r="G161" s="6"/>
      <c r="H161" s="6">
        <f t="shared" si="15"/>
        <v>0.16666666666666666</v>
      </c>
    </row>
    <row r="162" spans="1:8" ht="12" customHeight="1">
      <c r="A162" s="83"/>
      <c r="B162" s="4" t="s">
        <v>40</v>
      </c>
      <c r="C162" s="5" t="s">
        <v>130</v>
      </c>
      <c r="D162" s="67" t="s">
        <v>126</v>
      </c>
      <c r="E162" s="6">
        <f t="shared" si="13"/>
        <v>0.16656256488774987</v>
      </c>
      <c r="F162" s="7">
        <f t="shared" si="14"/>
        <v>0.16666666666666666</v>
      </c>
      <c r="G162" s="6"/>
      <c r="H162" s="6">
        <f>E$28/(E$28^2+E118^2)+E162</f>
        <v>0.16666666666666666</v>
      </c>
    </row>
    <row r="163" spans="1:8" ht="12" customHeight="1">
      <c r="A163" s="81" t="s">
        <v>121</v>
      </c>
      <c r="B163" s="4">
        <v>20</v>
      </c>
      <c r="C163" s="5" t="s">
        <v>130</v>
      </c>
      <c r="D163" s="67" t="s">
        <v>126</v>
      </c>
      <c r="E163" s="3">
        <f>(F141^2*E119+F163*(1+F163*E119))/((1+F163*E119)^2+F141^2*E119^2)</f>
        <v>0.006656011435268491</v>
      </c>
      <c r="F163" s="7">
        <f>(-1)*F97/(F$28^2+F97^2)+F119/(G$28^2+F119^2)</f>
        <v>0</v>
      </c>
      <c r="G163" s="3"/>
      <c r="H163" s="3">
        <f>(-1)*E97/(E$28^2+E97^2)+E163</f>
        <v>0</v>
      </c>
    </row>
    <row r="164" spans="1:8" ht="12" customHeight="1">
      <c r="A164" s="82"/>
      <c r="B164" s="4">
        <v>30</v>
      </c>
      <c r="C164" s="5" t="s">
        <v>130</v>
      </c>
      <c r="D164" s="67" t="s">
        <v>126</v>
      </c>
      <c r="E164" s="3">
        <f aca="true" t="shared" si="16" ref="E164:E184">(F142^2*E120+F164*(1+F164*E120))/((1+F164*E120)^2+F142^2*E120^2)</f>
        <v>0.009964120779153965</v>
      </c>
      <c r="F164" s="7">
        <f aca="true" t="shared" si="17" ref="F164:F184">(-1)*F98/(F$28^2+F98^2)+F120/(G$28^2+F120^2)</f>
        <v>0</v>
      </c>
      <c r="G164" s="3"/>
      <c r="H164" s="3">
        <f aca="true" t="shared" si="18" ref="H164:H184">(-1)*E98/(E$28^2+E98^2)+E164</f>
        <v>0</v>
      </c>
    </row>
    <row r="165" spans="1:8" ht="12" customHeight="1">
      <c r="A165" s="82"/>
      <c r="B165" s="4">
        <v>40</v>
      </c>
      <c r="C165" s="5" t="s">
        <v>130</v>
      </c>
      <c r="D165" s="67" t="s">
        <v>126</v>
      </c>
      <c r="E165" s="3">
        <f t="shared" si="16"/>
        <v>0.013248531612070272</v>
      </c>
      <c r="F165" s="7">
        <f t="shared" si="17"/>
        <v>0</v>
      </c>
      <c r="G165" s="3"/>
      <c r="H165" s="3">
        <f t="shared" si="18"/>
        <v>0</v>
      </c>
    </row>
    <row r="166" spans="1:8" ht="12" customHeight="1">
      <c r="A166" s="82"/>
      <c r="B166" s="4">
        <v>50</v>
      </c>
      <c r="C166" s="5" t="s">
        <v>130</v>
      </c>
      <c r="D166" s="67" t="s">
        <v>126</v>
      </c>
      <c r="E166" s="3">
        <f t="shared" si="16"/>
        <v>0.016501636502675433</v>
      </c>
      <c r="F166" s="7">
        <f t="shared" si="17"/>
        <v>0</v>
      </c>
      <c r="G166" s="3"/>
      <c r="H166" s="3">
        <f t="shared" si="18"/>
        <v>0</v>
      </c>
    </row>
    <row r="167" spans="1:8" ht="12" customHeight="1">
      <c r="A167" s="82"/>
      <c r="B167" s="4">
        <v>70</v>
      </c>
      <c r="C167" s="5" t="s">
        <v>130</v>
      </c>
      <c r="D167" s="67" t="s">
        <v>126</v>
      </c>
      <c r="E167" s="3">
        <f t="shared" si="16"/>
        <v>0.02288477283468337</v>
      </c>
      <c r="F167" s="7">
        <f t="shared" si="17"/>
        <v>0</v>
      </c>
      <c r="G167" s="3"/>
      <c r="H167" s="3">
        <f t="shared" si="18"/>
        <v>0</v>
      </c>
    </row>
    <row r="168" spans="1:8" ht="12" customHeight="1">
      <c r="A168" s="82"/>
      <c r="B168" s="4">
        <v>100</v>
      </c>
      <c r="C168" s="5" t="s">
        <v>130</v>
      </c>
      <c r="D168" s="67" t="s">
        <v>126</v>
      </c>
      <c r="E168" s="3">
        <f t="shared" si="16"/>
        <v>0.03205125706122437</v>
      </c>
      <c r="F168" s="7">
        <f t="shared" si="17"/>
        <v>0</v>
      </c>
      <c r="G168" s="3"/>
      <c r="H168" s="3">
        <f t="shared" si="18"/>
        <v>0</v>
      </c>
    </row>
    <row r="169" spans="1:8" ht="12" customHeight="1">
      <c r="A169" s="82"/>
      <c r="B169" s="4">
        <v>150</v>
      </c>
      <c r="C169" s="5" t="s">
        <v>130</v>
      </c>
      <c r="D169" s="67" t="s">
        <v>126</v>
      </c>
      <c r="E169" s="3">
        <f t="shared" si="16"/>
        <v>0.04587152728540154</v>
      </c>
      <c r="F169" s="7">
        <f t="shared" si="17"/>
        <v>0</v>
      </c>
      <c r="G169" s="3"/>
      <c r="H169" s="3">
        <f t="shared" si="18"/>
        <v>0</v>
      </c>
    </row>
    <row r="170" spans="1:8" ht="12" customHeight="1">
      <c r="A170" s="82"/>
      <c r="B170" s="4">
        <v>200</v>
      </c>
      <c r="C170" s="5" t="s">
        <v>130</v>
      </c>
      <c r="D170" s="67" t="s">
        <v>126</v>
      </c>
      <c r="E170" s="3">
        <f t="shared" si="16"/>
        <v>0.057471229215322724</v>
      </c>
      <c r="F170" s="7">
        <f t="shared" si="17"/>
        <v>0</v>
      </c>
      <c r="G170" s="3"/>
      <c r="H170" s="3">
        <f t="shared" si="18"/>
        <v>0</v>
      </c>
    </row>
    <row r="171" spans="1:8" ht="12" customHeight="1">
      <c r="A171" s="82"/>
      <c r="B171" s="4">
        <v>300</v>
      </c>
      <c r="C171" s="5" t="s">
        <v>130</v>
      </c>
      <c r="D171" s="67" t="s">
        <v>126</v>
      </c>
      <c r="E171" s="3">
        <f t="shared" si="16"/>
        <v>0.07352938253755557</v>
      </c>
      <c r="F171" s="7">
        <f t="shared" si="17"/>
        <v>0</v>
      </c>
      <c r="G171" s="3"/>
      <c r="H171" s="3">
        <f t="shared" si="18"/>
        <v>0</v>
      </c>
    </row>
    <row r="172" spans="1:8" ht="12" customHeight="1">
      <c r="A172" s="82"/>
      <c r="B172" s="4">
        <v>400</v>
      </c>
      <c r="C172" s="5" t="s">
        <v>130</v>
      </c>
      <c r="D172" s="67" t="s">
        <v>126</v>
      </c>
      <c r="E172" s="3">
        <f t="shared" si="16"/>
        <v>0.08130079793378701</v>
      </c>
      <c r="F172" s="7">
        <f t="shared" si="17"/>
        <v>0</v>
      </c>
      <c r="G172" s="3"/>
      <c r="H172" s="3">
        <f t="shared" si="18"/>
        <v>0</v>
      </c>
    </row>
    <row r="173" spans="1:8" ht="12" customHeight="1">
      <c r="A173" s="82"/>
      <c r="B173" s="4">
        <v>500</v>
      </c>
      <c r="C173" s="5" t="s">
        <v>130</v>
      </c>
      <c r="D173" s="67" t="s">
        <v>126</v>
      </c>
      <c r="E173" s="3">
        <f t="shared" si="16"/>
        <v>0.08333333333330362</v>
      </c>
      <c r="F173" s="7">
        <f t="shared" si="17"/>
        <v>0</v>
      </c>
      <c r="G173" s="3"/>
      <c r="H173" s="3">
        <f t="shared" si="18"/>
        <v>0</v>
      </c>
    </row>
    <row r="174" spans="1:8" ht="12" customHeight="1">
      <c r="A174" s="82"/>
      <c r="B174" s="4">
        <v>700</v>
      </c>
      <c r="C174" s="5" t="s">
        <v>130</v>
      </c>
      <c r="D174" s="67" t="s">
        <v>126</v>
      </c>
      <c r="E174" s="3">
        <f t="shared" si="16"/>
        <v>0.0788288504235822</v>
      </c>
      <c r="F174" s="7">
        <f t="shared" si="17"/>
        <v>0</v>
      </c>
      <c r="G174" s="3"/>
      <c r="H174" s="3">
        <f t="shared" si="18"/>
        <v>0</v>
      </c>
    </row>
    <row r="175" spans="1:8" ht="12" customHeight="1">
      <c r="A175" s="82"/>
      <c r="B175" s="4" t="s">
        <v>31</v>
      </c>
      <c r="C175" s="5" t="s">
        <v>130</v>
      </c>
      <c r="D175" s="67" t="s">
        <v>126</v>
      </c>
      <c r="E175" s="3">
        <f t="shared" si="16"/>
        <v>0.0666667004532289</v>
      </c>
      <c r="F175" s="7">
        <f t="shared" si="17"/>
        <v>0</v>
      </c>
      <c r="G175" s="3"/>
      <c r="H175" s="3">
        <f t="shared" si="18"/>
        <v>0</v>
      </c>
    </row>
    <row r="176" spans="1:8" ht="12" customHeight="1">
      <c r="A176" s="82"/>
      <c r="B176" s="4" t="s">
        <v>32</v>
      </c>
      <c r="C176" s="5" t="s">
        <v>130</v>
      </c>
      <c r="D176" s="67" t="s">
        <v>126</v>
      </c>
      <c r="E176" s="3">
        <f t="shared" si="16"/>
        <v>0.050000033786573875</v>
      </c>
      <c r="F176" s="7">
        <f t="shared" si="17"/>
        <v>0</v>
      </c>
      <c r="G176" s="3"/>
      <c r="H176" s="3">
        <f t="shared" si="18"/>
        <v>0</v>
      </c>
    </row>
    <row r="177" spans="1:8" ht="12" customHeight="1">
      <c r="A177" s="82"/>
      <c r="B177" s="4" t="s">
        <v>33</v>
      </c>
      <c r="C177" s="5" t="s">
        <v>130</v>
      </c>
      <c r="D177" s="67" t="s">
        <v>126</v>
      </c>
      <c r="E177" s="3">
        <f t="shared" si="16"/>
        <v>0.03921571550165331</v>
      </c>
      <c r="F177" s="7">
        <f t="shared" si="17"/>
        <v>0</v>
      </c>
      <c r="G177" s="3"/>
      <c r="H177" s="3">
        <f t="shared" si="18"/>
        <v>0</v>
      </c>
    </row>
    <row r="178" spans="1:8" ht="12" customHeight="1">
      <c r="A178" s="82"/>
      <c r="B178" s="4" t="s">
        <v>34</v>
      </c>
      <c r="C178" s="5" t="s">
        <v>130</v>
      </c>
      <c r="D178" s="67" t="s">
        <v>126</v>
      </c>
      <c r="E178" s="3">
        <f t="shared" si="16"/>
        <v>0.027027048621810212</v>
      </c>
      <c r="F178" s="7">
        <f t="shared" si="17"/>
        <v>0</v>
      </c>
      <c r="G178" s="3"/>
      <c r="H178" s="3">
        <f t="shared" si="18"/>
        <v>0</v>
      </c>
    </row>
    <row r="179" spans="1:8" ht="12" customHeight="1">
      <c r="A179" s="82"/>
      <c r="B179" s="4" t="s">
        <v>35</v>
      </c>
      <c r="C179" s="5" t="s">
        <v>130</v>
      </c>
      <c r="D179" s="67" t="s">
        <v>126</v>
      </c>
      <c r="E179" s="3">
        <f t="shared" si="16"/>
        <v>0.02051283730615112</v>
      </c>
      <c r="F179" s="7">
        <f t="shared" si="17"/>
        <v>0</v>
      </c>
      <c r="G179" s="3"/>
      <c r="H179" s="3">
        <f t="shared" si="18"/>
        <v>0</v>
      </c>
    </row>
    <row r="180" spans="1:8" ht="12" customHeight="1">
      <c r="A180" s="82"/>
      <c r="B180" s="4" t="s">
        <v>36</v>
      </c>
      <c r="C180" s="5" t="s">
        <v>130</v>
      </c>
      <c r="D180" s="67" t="s">
        <v>126</v>
      </c>
      <c r="E180" s="3">
        <f t="shared" si="16"/>
        <v>0.016501663827368417</v>
      </c>
      <c r="F180" s="7">
        <f t="shared" si="17"/>
        <v>0</v>
      </c>
      <c r="G180" s="3"/>
      <c r="H180" s="3">
        <f t="shared" si="18"/>
        <v>0</v>
      </c>
    </row>
    <row r="181" spans="1:8" ht="12" customHeight="1">
      <c r="A181" s="82"/>
      <c r="B181" s="4" t="s">
        <v>37</v>
      </c>
      <c r="C181" s="5" t="s">
        <v>130</v>
      </c>
      <c r="D181" s="67" t="s">
        <v>126</v>
      </c>
      <c r="E181" s="3">
        <f t="shared" si="16"/>
        <v>0.011844341544204823</v>
      </c>
      <c r="F181" s="7">
        <f t="shared" si="17"/>
        <v>0</v>
      </c>
      <c r="G181" s="3"/>
      <c r="H181" s="3">
        <f t="shared" si="18"/>
        <v>0</v>
      </c>
    </row>
    <row r="182" spans="1:8" ht="12" customHeight="1">
      <c r="A182" s="82"/>
      <c r="B182" s="4" t="s">
        <v>38</v>
      </c>
      <c r="C182" s="5" t="s">
        <v>130</v>
      </c>
      <c r="D182" s="67" t="s">
        <v>126</v>
      </c>
      <c r="E182" s="3">
        <f t="shared" si="16"/>
        <v>0.008312558939748813</v>
      </c>
      <c r="F182" s="7">
        <f t="shared" si="17"/>
        <v>0</v>
      </c>
      <c r="G182" s="3"/>
      <c r="H182" s="3">
        <f t="shared" si="18"/>
        <v>0</v>
      </c>
    </row>
    <row r="183" spans="1:8" ht="12" customHeight="1">
      <c r="A183" s="82"/>
      <c r="B183" s="4" t="s">
        <v>39</v>
      </c>
      <c r="C183" s="5" t="s">
        <v>130</v>
      </c>
      <c r="D183" s="67" t="s">
        <v>126</v>
      </c>
      <c r="E183" s="3">
        <f t="shared" si="16"/>
        <v>0.005549394244115577</v>
      </c>
      <c r="F183" s="7">
        <f t="shared" si="17"/>
        <v>0</v>
      </c>
      <c r="G183" s="3"/>
      <c r="H183" s="3">
        <f t="shared" si="18"/>
        <v>0</v>
      </c>
    </row>
    <row r="184" spans="1:8" ht="12" customHeight="1">
      <c r="A184" s="83"/>
      <c r="B184" s="4" t="s">
        <v>40</v>
      </c>
      <c r="C184" s="5" t="s">
        <v>130</v>
      </c>
      <c r="D184" s="67" t="s">
        <v>126</v>
      </c>
      <c r="E184" s="3">
        <f t="shared" si="16"/>
        <v>0.004164067639431214</v>
      </c>
      <c r="F184" s="7">
        <f t="shared" si="17"/>
        <v>0</v>
      </c>
      <c r="G184" s="3"/>
      <c r="H184" s="3">
        <f t="shared" si="18"/>
        <v>0</v>
      </c>
    </row>
    <row r="185" spans="1:8" ht="12" customHeight="1">
      <c r="A185" s="81" t="s">
        <v>122</v>
      </c>
      <c r="B185" s="4">
        <v>20</v>
      </c>
      <c r="C185" s="5" t="s">
        <v>130</v>
      </c>
      <c r="D185" s="2" t="s">
        <v>125</v>
      </c>
      <c r="E185" s="7">
        <f>IF($H$17=1,SpeakerCorrection1!E56,0)+IF($H$17=2,SpeakerCorrection2!E56,0)+IF($H$17=3,SpeakerCorrection3!E56,0)+IF($H$17=4,SpeakerCorrection4!E56,0)</f>
        <v>0</v>
      </c>
      <c r="F185" s="7">
        <f>IF($H$17=1,SpeakerCorrection1!F56,0)+IF($H$17=2,SpeakerCorrection2!F56,0)+IF($H$17=3,SpeakerCorrection3!F56,0)+IF($H$17=4,SpeakerCorrection4!F56,0)</f>
        <v>0</v>
      </c>
      <c r="G185" s="7">
        <f>IF($H$17=1,SpeakerCorrection1!G56,0)+IF($H$17=2,SpeakerCorrection2!G56,0)+IF($H$17=3,SpeakerCorrection3!G56,0)+IF($H$17=4,SpeakerCorrection4!G56,0)</f>
        <v>0</v>
      </c>
      <c r="H185" s="7">
        <f>IF($H$17=1,SpeakerCorrection1!H56,0)+IF($H$17=2,SpeakerCorrection2!H56,0)+IF($H$17=3,SpeakerCorrection3!H56,0)+IF($H$17=4,SpeakerCorrection4!H56,0)</f>
        <v>0</v>
      </c>
    </row>
    <row r="186" spans="1:8" ht="12" customHeight="1">
      <c r="A186" s="82"/>
      <c r="B186" s="4">
        <v>30</v>
      </c>
      <c r="C186" s="5" t="s">
        <v>130</v>
      </c>
      <c r="D186" s="2" t="s">
        <v>125</v>
      </c>
      <c r="E186" s="7">
        <f>IF($H$17=1,SpeakerCorrection1!E57,0)+IF($H$17=2,SpeakerCorrection2!E57,0)+IF($H$17=3,SpeakerCorrection3!E57,0)+IF($H$17=4,SpeakerCorrection4!E57,0)</f>
        <v>0</v>
      </c>
      <c r="F186" s="7">
        <f>IF($H$17=1,SpeakerCorrection1!F57,0)+IF($H$17=2,SpeakerCorrection2!F57,0)+IF($H$17=3,SpeakerCorrection3!F57,0)+IF($H$17=4,SpeakerCorrection4!F57,0)</f>
        <v>0</v>
      </c>
      <c r="G186" s="7">
        <f>IF($H$17=1,SpeakerCorrection1!G57,0)+IF($H$17=2,SpeakerCorrection2!G57,0)+IF($H$17=3,SpeakerCorrection3!G57,0)+IF($H$17=4,SpeakerCorrection4!G57,0)</f>
        <v>0</v>
      </c>
      <c r="H186" s="7">
        <f>IF($H$17=1,SpeakerCorrection1!H57,0)+IF($H$17=2,SpeakerCorrection2!H57,0)+IF($H$17=3,SpeakerCorrection3!H57,0)+IF($H$17=4,SpeakerCorrection4!H57,0)</f>
        <v>0</v>
      </c>
    </row>
    <row r="187" spans="1:8" ht="12" customHeight="1">
      <c r="A187" s="82"/>
      <c r="B187" s="4">
        <v>40</v>
      </c>
      <c r="C187" s="5" t="s">
        <v>130</v>
      </c>
      <c r="D187" s="2" t="s">
        <v>125</v>
      </c>
      <c r="E187" s="7">
        <f>IF($H$17=1,SpeakerCorrection1!E58,0)+IF($H$17=2,SpeakerCorrection2!E58,0)+IF($H$17=3,SpeakerCorrection3!E58,0)+IF($H$17=4,SpeakerCorrection4!E58,0)</f>
        <v>0</v>
      </c>
      <c r="F187" s="7">
        <f>IF($H$17=1,SpeakerCorrection1!F58,0)+IF($H$17=2,SpeakerCorrection2!F58,0)+IF($H$17=3,SpeakerCorrection3!F58,0)+IF($H$17=4,SpeakerCorrection4!F58,0)</f>
        <v>0</v>
      </c>
      <c r="G187" s="7">
        <f>IF($H$17=1,SpeakerCorrection1!G58,0)+IF($H$17=2,SpeakerCorrection2!G58,0)+IF($H$17=3,SpeakerCorrection3!G58,0)+IF($H$17=4,SpeakerCorrection4!G58,0)</f>
        <v>0</v>
      </c>
      <c r="H187" s="7">
        <f>IF($H$17=1,SpeakerCorrection1!H58,0)+IF($H$17=2,SpeakerCorrection2!H58,0)+IF($H$17=3,SpeakerCorrection3!H58,0)+IF($H$17=4,SpeakerCorrection4!H58,0)</f>
        <v>0</v>
      </c>
    </row>
    <row r="188" spans="1:8" ht="12" customHeight="1">
      <c r="A188" s="82"/>
      <c r="B188" s="4">
        <v>50</v>
      </c>
      <c r="C188" s="5" t="s">
        <v>130</v>
      </c>
      <c r="D188" s="2" t="s">
        <v>125</v>
      </c>
      <c r="E188" s="7">
        <f>IF($H$17=1,SpeakerCorrection1!E59,0)+IF($H$17=2,SpeakerCorrection2!E59,0)+IF($H$17=3,SpeakerCorrection3!E59,0)+IF($H$17=4,SpeakerCorrection4!E59,0)</f>
        <v>0</v>
      </c>
      <c r="F188" s="7">
        <f>IF($H$17=1,SpeakerCorrection1!F59,0)+IF($H$17=2,SpeakerCorrection2!F59,0)+IF($H$17=3,SpeakerCorrection3!F59,0)+IF($H$17=4,SpeakerCorrection4!F59,0)</f>
        <v>0</v>
      </c>
      <c r="G188" s="7">
        <f>IF($H$17=1,SpeakerCorrection1!G59,0)+IF($H$17=2,SpeakerCorrection2!G59,0)+IF($H$17=3,SpeakerCorrection3!G59,0)+IF($H$17=4,SpeakerCorrection4!G59,0)</f>
        <v>0</v>
      </c>
      <c r="H188" s="7">
        <f>IF($H$17=1,SpeakerCorrection1!H59,0)+IF($H$17=2,SpeakerCorrection2!H59,0)+IF($H$17=3,SpeakerCorrection3!H59,0)+IF($H$17=4,SpeakerCorrection4!H59,0)</f>
        <v>0</v>
      </c>
    </row>
    <row r="189" spans="1:8" ht="12" customHeight="1">
      <c r="A189" s="82"/>
      <c r="B189" s="4">
        <v>70</v>
      </c>
      <c r="C189" s="5" t="s">
        <v>130</v>
      </c>
      <c r="D189" s="2" t="s">
        <v>125</v>
      </c>
      <c r="E189" s="7">
        <f>IF($H$17=1,SpeakerCorrection1!E60,0)+IF($H$17=2,SpeakerCorrection2!E60,0)+IF($H$17=3,SpeakerCorrection3!E60,0)+IF($H$17=4,SpeakerCorrection4!E60,0)</f>
        <v>0</v>
      </c>
      <c r="F189" s="7">
        <f>IF($H$17=1,SpeakerCorrection1!F60,0)+IF($H$17=2,SpeakerCorrection2!F60,0)+IF($H$17=3,SpeakerCorrection3!F60,0)+IF($H$17=4,SpeakerCorrection4!F60,0)</f>
        <v>0</v>
      </c>
      <c r="G189" s="7">
        <f>IF($H$17=1,SpeakerCorrection1!G60,0)+IF($H$17=2,SpeakerCorrection2!G60,0)+IF($H$17=3,SpeakerCorrection3!G60,0)+IF($H$17=4,SpeakerCorrection4!G60,0)</f>
        <v>0</v>
      </c>
      <c r="H189" s="7">
        <f>IF($H$17=1,SpeakerCorrection1!H60,0)+IF($H$17=2,SpeakerCorrection2!H60,0)+IF($H$17=3,SpeakerCorrection3!H60,0)+IF($H$17=4,SpeakerCorrection4!H60,0)</f>
        <v>0</v>
      </c>
    </row>
    <row r="190" spans="1:8" ht="12" customHeight="1">
      <c r="A190" s="82"/>
      <c r="B190" s="4">
        <v>100</v>
      </c>
      <c r="C190" s="5" t="s">
        <v>130</v>
      </c>
      <c r="D190" s="2" t="s">
        <v>125</v>
      </c>
      <c r="E190" s="7">
        <f>IF($H$17=1,SpeakerCorrection1!E61,0)+IF($H$17=2,SpeakerCorrection2!E61,0)+IF($H$17=3,SpeakerCorrection3!E61,0)+IF($H$17=4,SpeakerCorrection4!E61,0)</f>
        <v>0</v>
      </c>
      <c r="F190" s="7">
        <f>IF($H$17=1,SpeakerCorrection1!F61,0)+IF($H$17=2,SpeakerCorrection2!F61,0)+IF($H$17=3,SpeakerCorrection3!F61,0)+IF($H$17=4,SpeakerCorrection4!F61,0)</f>
        <v>0</v>
      </c>
      <c r="G190" s="7">
        <f>IF($H$17=1,SpeakerCorrection1!G61,0)+IF($H$17=2,SpeakerCorrection2!G61,0)+IF($H$17=3,SpeakerCorrection3!G61,0)+IF($H$17=4,SpeakerCorrection4!G61,0)</f>
        <v>0</v>
      </c>
      <c r="H190" s="7">
        <f>IF($H$17=1,SpeakerCorrection1!H61,0)+IF($H$17=2,SpeakerCorrection2!H61,0)+IF($H$17=3,SpeakerCorrection3!H61,0)+IF($H$17=4,SpeakerCorrection4!H61,0)</f>
        <v>0</v>
      </c>
    </row>
    <row r="191" spans="1:8" ht="12" customHeight="1">
      <c r="A191" s="82"/>
      <c r="B191" s="4">
        <v>150</v>
      </c>
      <c r="C191" s="5" t="s">
        <v>130</v>
      </c>
      <c r="D191" s="2" t="s">
        <v>125</v>
      </c>
      <c r="E191" s="7">
        <f>IF($H$17=1,SpeakerCorrection1!E62,0)+IF($H$17=2,SpeakerCorrection2!E62,0)+IF($H$17=3,SpeakerCorrection3!E62,0)+IF($H$17=4,SpeakerCorrection4!E62,0)</f>
        <v>0</v>
      </c>
      <c r="F191" s="7">
        <f>IF($H$17=1,SpeakerCorrection1!F62,0)+IF($H$17=2,SpeakerCorrection2!F62,0)+IF($H$17=3,SpeakerCorrection3!F62,0)+IF($H$17=4,SpeakerCorrection4!F62,0)</f>
        <v>0</v>
      </c>
      <c r="G191" s="7">
        <f>IF($H$17=1,SpeakerCorrection1!G62,0)+IF($H$17=2,SpeakerCorrection2!G62,0)+IF($H$17=3,SpeakerCorrection3!G62,0)+IF($H$17=4,SpeakerCorrection4!G62,0)</f>
        <v>0</v>
      </c>
      <c r="H191" s="7">
        <f>IF($H$17=1,SpeakerCorrection1!H62,0)+IF($H$17=2,SpeakerCorrection2!H62,0)+IF($H$17=3,SpeakerCorrection3!H62,0)+IF($H$17=4,SpeakerCorrection4!H62,0)</f>
        <v>0</v>
      </c>
    </row>
    <row r="192" spans="1:8" ht="12" customHeight="1">
      <c r="A192" s="82"/>
      <c r="B192" s="4">
        <v>200</v>
      </c>
      <c r="C192" s="5" t="s">
        <v>130</v>
      </c>
      <c r="D192" s="2" t="s">
        <v>125</v>
      </c>
      <c r="E192" s="7">
        <f>IF($H$17=1,SpeakerCorrection1!E63,0)+IF($H$17=2,SpeakerCorrection2!E63,0)+IF($H$17=3,SpeakerCorrection3!E63,0)+IF($H$17=4,SpeakerCorrection4!E63,0)</f>
        <v>0</v>
      </c>
      <c r="F192" s="7">
        <f>IF($H$17=1,SpeakerCorrection1!F63,0)+IF($H$17=2,SpeakerCorrection2!F63,0)+IF($H$17=3,SpeakerCorrection3!F63,0)+IF($H$17=4,SpeakerCorrection4!F63,0)</f>
        <v>0</v>
      </c>
      <c r="G192" s="7">
        <f>IF($H$17=1,SpeakerCorrection1!G63,0)+IF($H$17=2,SpeakerCorrection2!G63,0)+IF($H$17=3,SpeakerCorrection3!G63,0)+IF($H$17=4,SpeakerCorrection4!G63,0)</f>
        <v>0</v>
      </c>
      <c r="H192" s="7">
        <f>IF($H$17=1,SpeakerCorrection1!H63,0)+IF($H$17=2,SpeakerCorrection2!H63,0)+IF($H$17=3,SpeakerCorrection3!H63,0)+IF($H$17=4,SpeakerCorrection4!H63,0)</f>
        <v>0</v>
      </c>
    </row>
    <row r="193" spans="1:8" ht="12" customHeight="1">
      <c r="A193" s="82"/>
      <c r="B193" s="4">
        <v>300</v>
      </c>
      <c r="C193" s="5" t="s">
        <v>130</v>
      </c>
      <c r="D193" s="2" t="s">
        <v>125</v>
      </c>
      <c r="E193" s="7">
        <f>IF($H$17=1,SpeakerCorrection1!E64,0)+IF($H$17=2,SpeakerCorrection2!E64,0)+IF($H$17=3,SpeakerCorrection3!E64,0)+IF($H$17=4,SpeakerCorrection4!E64,0)</f>
        <v>0</v>
      </c>
      <c r="F193" s="7">
        <f>IF($H$17=1,SpeakerCorrection1!F64,0)+IF($H$17=2,SpeakerCorrection2!F64,0)+IF($H$17=3,SpeakerCorrection3!F64,0)+IF($H$17=4,SpeakerCorrection4!F64,0)</f>
        <v>0</v>
      </c>
      <c r="G193" s="7">
        <f>IF($H$17=1,SpeakerCorrection1!G64,0)+IF($H$17=2,SpeakerCorrection2!G64,0)+IF($H$17=3,SpeakerCorrection3!G64,0)+IF($H$17=4,SpeakerCorrection4!G64,0)</f>
        <v>0</v>
      </c>
      <c r="H193" s="7">
        <f>IF($H$17=1,SpeakerCorrection1!H64,0)+IF($H$17=2,SpeakerCorrection2!H64,0)+IF($H$17=3,SpeakerCorrection3!H64,0)+IF($H$17=4,SpeakerCorrection4!H64,0)</f>
        <v>0</v>
      </c>
    </row>
    <row r="194" spans="1:8" ht="12" customHeight="1">
      <c r="A194" s="82"/>
      <c r="B194" s="4">
        <v>400</v>
      </c>
      <c r="C194" s="5" t="s">
        <v>130</v>
      </c>
      <c r="D194" s="2" t="s">
        <v>125</v>
      </c>
      <c r="E194" s="7">
        <f>IF($H$17=1,SpeakerCorrection1!E65,0)+IF($H$17=2,SpeakerCorrection2!E65,0)+IF($H$17=3,SpeakerCorrection3!E65,0)+IF($H$17=4,SpeakerCorrection4!E65,0)</f>
        <v>0</v>
      </c>
      <c r="F194" s="7">
        <f>IF($H$17=1,SpeakerCorrection1!F65,0)+IF($H$17=2,SpeakerCorrection2!F65,0)+IF($H$17=3,SpeakerCorrection3!F65,0)+IF($H$17=4,SpeakerCorrection4!F65,0)</f>
        <v>0</v>
      </c>
      <c r="G194" s="7">
        <f>IF($H$17=1,SpeakerCorrection1!G65,0)+IF($H$17=2,SpeakerCorrection2!G65,0)+IF($H$17=3,SpeakerCorrection3!G65,0)+IF($H$17=4,SpeakerCorrection4!G65,0)</f>
        <v>0</v>
      </c>
      <c r="H194" s="7">
        <f>IF($H$17=1,SpeakerCorrection1!H65,0)+IF($H$17=2,SpeakerCorrection2!H65,0)+IF($H$17=3,SpeakerCorrection3!H65,0)+IF($H$17=4,SpeakerCorrection4!H65,0)</f>
        <v>0</v>
      </c>
    </row>
    <row r="195" spans="1:8" ht="12" customHeight="1">
      <c r="A195" s="82"/>
      <c r="B195" s="4">
        <v>500</v>
      </c>
      <c r="C195" s="5" t="s">
        <v>130</v>
      </c>
      <c r="D195" s="2" t="s">
        <v>125</v>
      </c>
      <c r="E195" s="7">
        <f>IF($H$17=1,SpeakerCorrection1!E66,0)+IF($H$17=2,SpeakerCorrection2!E66,0)+IF($H$17=3,SpeakerCorrection3!E66,0)+IF($H$17=4,SpeakerCorrection4!E66,0)</f>
        <v>0</v>
      </c>
      <c r="F195" s="7">
        <f>IF($H$17=1,SpeakerCorrection1!F66,0)+IF($H$17=2,SpeakerCorrection2!F66,0)+IF($H$17=3,SpeakerCorrection3!F66,0)+IF($H$17=4,SpeakerCorrection4!F66,0)</f>
        <v>0</v>
      </c>
      <c r="G195" s="7">
        <f>IF($H$17=1,SpeakerCorrection1!G66,0)+IF($H$17=2,SpeakerCorrection2!G66,0)+IF($H$17=3,SpeakerCorrection3!G66,0)+IF($H$17=4,SpeakerCorrection4!G66,0)</f>
        <v>0</v>
      </c>
      <c r="H195" s="7">
        <f>IF($H$17=1,SpeakerCorrection1!H66,0)+IF($H$17=2,SpeakerCorrection2!H66,0)+IF($H$17=3,SpeakerCorrection3!H66,0)+IF($H$17=4,SpeakerCorrection4!H66,0)</f>
        <v>0</v>
      </c>
    </row>
    <row r="196" spans="1:8" ht="12" customHeight="1">
      <c r="A196" s="82"/>
      <c r="B196" s="4">
        <v>700</v>
      </c>
      <c r="C196" s="5" t="s">
        <v>130</v>
      </c>
      <c r="D196" s="2" t="s">
        <v>125</v>
      </c>
      <c r="E196" s="7">
        <f>IF($H$17=1,SpeakerCorrection1!E67,0)+IF($H$17=2,SpeakerCorrection2!E67,0)+IF($H$17=3,SpeakerCorrection3!E67,0)+IF($H$17=4,SpeakerCorrection4!E67,0)</f>
        <v>0</v>
      </c>
      <c r="F196" s="7">
        <f>IF($H$17=1,SpeakerCorrection1!F67,0)+IF($H$17=2,SpeakerCorrection2!F67,0)+IF($H$17=3,SpeakerCorrection3!F67,0)+IF($H$17=4,SpeakerCorrection4!F67,0)</f>
        <v>0</v>
      </c>
      <c r="G196" s="7">
        <f>IF($H$17=1,SpeakerCorrection1!G67,0)+IF($H$17=2,SpeakerCorrection2!G67,0)+IF($H$17=3,SpeakerCorrection3!G67,0)+IF($H$17=4,SpeakerCorrection4!G67,0)</f>
        <v>0</v>
      </c>
      <c r="H196" s="7">
        <f>IF($H$17=1,SpeakerCorrection1!H67,0)+IF($H$17=2,SpeakerCorrection2!H67,0)+IF($H$17=3,SpeakerCorrection3!H67,0)+IF($H$17=4,SpeakerCorrection4!H67,0)</f>
        <v>0</v>
      </c>
    </row>
    <row r="197" spans="1:8" ht="12" customHeight="1">
      <c r="A197" s="82"/>
      <c r="B197" s="4" t="s">
        <v>43</v>
      </c>
      <c r="C197" s="5" t="s">
        <v>130</v>
      </c>
      <c r="D197" s="2" t="s">
        <v>125</v>
      </c>
      <c r="E197" s="7">
        <f>IF($H$17=1,SpeakerCorrection1!E68,0)+IF($H$17=2,SpeakerCorrection2!E68,0)+IF($H$17=3,SpeakerCorrection3!E68,0)+IF($H$17=4,SpeakerCorrection4!E68,0)</f>
        <v>0</v>
      </c>
      <c r="F197" s="7">
        <f>IF($H$17=1,SpeakerCorrection1!F68,0)+IF($H$17=2,SpeakerCorrection2!F68,0)+IF($H$17=3,SpeakerCorrection3!F68,0)+IF($H$17=4,SpeakerCorrection4!F68,0)</f>
        <v>0</v>
      </c>
      <c r="G197" s="7">
        <f>IF($H$17=1,SpeakerCorrection1!G68,0)+IF($H$17=2,SpeakerCorrection2!G68,0)+IF($H$17=3,SpeakerCorrection3!G68,0)+IF($H$17=4,SpeakerCorrection4!G68,0)</f>
        <v>0</v>
      </c>
      <c r="H197" s="7">
        <f>IF($H$17=1,SpeakerCorrection1!H68,0)+IF($H$17=2,SpeakerCorrection2!H68,0)+IF($H$17=3,SpeakerCorrection3!H68,0)+IF($H$17=4,SpeakerCorrection4!H68,0)</f>
        <v>0</v>
      </c>
    </row>
    <row r="198" spans="1:8" ht="12" customHeight="1">
      <c r="A198" s="82"/>
      <c r="B198" s="4" t="s">
        <v>44</v>
      </c>
      <c r="C198" s="5" t="s">
        <v>130</v>
      </c>
      <c r="D198" s="2" t="s">
        <v>125</v>
      </c>
      <c r="E198" s="7">
        <f>IF($H$17=1,SpeakerCorrection1!E69,0)+IF($H$17=2,SpeakerCorrection2!E69,0)+IF($H$17=3,SpeakerCorrection3!E69,0)+IF($H$17=4,SpeakerCorrection4!E69,0)</f>
        <v>0</v>
      </c>
      <c r="F198" s="7">
        <f>IF($H$17=1,SpeakerCorrection1!F69,0)+IF($H$17=2,SpeakerCorrection2!F69,0)+IF($H$17=3,SpeakerCorrection3!F69,0)+IF($H$17=4,SpeakerCorrection4!F69,0)</f>
        <v>0</v>
      </c>
      <c r="G198" s="7">
        <f>IF($H$17=1,SpeakerCorrection1!G69,0)+IF($H$17=2,SpeakerCorrection2!G69,0)+IF($H$17=3,SpeakerCorrection3!G69,0)+IF($H$17=4,SpeakerCorrection4!G69,0)</f>
        <v>0</v>
      </c>
      <c r="H198" s="7">
        <f>IF($H$17=1,SpeakerCorrection1!H69,0)+IF($H$17=2,SpeakerCorrection2!H69,0)+IF($H$17=3,SpeakerCorrection3!H69,0)+IF($H$17=4,SpeakerCorrection4!H69,0)</f>
        <v>0</v>
      </c>
    </row>
    <row r="199" spans="1:8" ht="12" customHeight="1">
      <c r="A199" s="82"/>
      <c r="B199" s="4" t="s">
        <v>45</v>
      </c>
      <c r="C199" s="5" t="s">
        <v>130</v>
      </c>
      <c r="D199" s="2" t="s">
        <v>125</v>
      </c>
      <c r="E199" s="7">
        <f>IF($H$17=1,SpeakerCorrection1!E70,0)+IF($H$17=2,SpeakerCorrection2!E70,0)+IF($H$17=3,SpeakerCorrection3!E70,0)+IF($H$17=4,SpeakerCorrection4!E70,0)</f>
        <v>0</v>
      </c>
      <c r="F199" s="7">
        <f>IF($H$17=1,SpeakerCorrection1!F70,0)+IF($H$17=2,SpeakerCorrection2!F70,0)+IF($H$17=3,SpeakerCorrection3!F70,0)+IF($H$17=4,SpeakerCorrection4!F70,0)</f>
        <v>0</v>
      </c>
      <c r="G199" s="7">
        <f>IF($H$17=1,SpeakerCorrection1!G70,0)+IF($H$17=2,SpeakerCorrection2!G70,0)+IF($H$17=3,SpeakerCorrection3!G70,0)+IF($H$17=4,SpeakerCorrection4!G70,0)</f>
        <v>0</v>
      </c>
      <c r="H199" s="7">
        <f>IF($H$17=1,SpeakerCorrection1!H70,0)+IF($H$17=2,SpeakerCorrection2!H70,0)+IF($H$17=3,SpeakerCorrection3!H70,0)+IF($H$17=4,SpeakerCorrection4!H70,0)</f>
        <v>0</v>
      </c>
    </row>
    <row r="200" spans="1:8" ht="12" customHeight="1">
      <c r="A200" s="82"/>
      <c r="B200" s="4" t="s">
        <v>46</v>
      </c>
      <c r="C200" s="5" t="s">
        <v>130</v>
      </c>
      <c r="D200" s="2" t="s">
        <v>125</v>
      </c>
      <c r="E200" s="7">
        <f>IF($H$17=1,SpeakerCorrection1!E71,0)+IF($H$17=2,SpeakerCorrection2!E71,0)+IF($H$17=3,SpeakerCorrection3!E71,0)+IF($H$17=4,SpeakerCorrection4!E71,0)</f>
        <v>0</v>
      </c>
      <c r="F200" s="7">
        <f>IF($H$17=1,SpeakerCorrection1!F71,0)+IF($H$17=2,SpeakerCorrection2!F71,0)+IF($H$17=3,SpeakerCorrection3!F71,0)+IF($H$17=4,SpeakerCorrection4!F71,0)</f>
        <v>0</v>
      </c>
      <c r="G200" s="7">
        <f>IF($H$17=1,SpeakerCorrection1!G71,0)+IF($H$17=2,SpeakerCorrection2!G71,0)+IF($H$17=3,SpeakerCorrection3!G71,0)+IF($H$17=4,SpeakerCorrection4!G71,0)</f>
        <v>0</v>
      </c>
      <c r="H200" s="7">
        <f>IF($H$17=1,SpeakerCorrection1!H71,0)+IF($H$17=2,SpeakerCorrection2!H71,0)+IF($H$17=3,SpeakerCorrection3!H71,0)+IF($H$17=4,SpeakerCorrection4!H71,0)</f>
        <v>0</v>
      </c>
    </row>
    <row r="201" spans="1:8" ht="12" customHeight="1">
      <c r="A201" s="82"/>
      <c r="B201" s="4" t="s">
        <v>47</v>
      </c>
      <c r="C201" s="5" t="s">
        <v>130</v>
      </c>
      <c r="D201" s="2" t="s">
        <v>125</v>
      </c>
      <c r="E201" s="7">
        <f>IF($H$17=1,SpeakerCorrection1!E72,0)+IF($H$17=2,SpeakerCorrection2!E72,0)+IF($H$17=3,SpeakerCorrection3!E72,0)+IF($H$17=4,SpeakerCorrection4!E72,0)</f>
        <v>0</v>
      </c>
      <c r="F201" s="7">
        <f>IF($H$17=1,SpeakerCorrection1!F72,0)+IF($H$17=2,SpeakerCorrection2!F72,0)+IF($H$17=3,SpeakerCorrection3!F72,0)+IF($H$17=4,SpeakerCorrection4!F72,0)</f>
        <v>0</v>
      </c>
      <c r="G201" s="7">
        <f>IF($H$17=1,SpeakerCorrection1!G72,0)+IF($H$17=2,SpeakerCorrection2!G72,0)+IF($H$17=3,SpeakerCorrection3!G72,0)+IF($H$17=4,SpeakerCorrection4!G72,0)</f>
        <v>0</v>
      </c>
      <c r="H201" s="7">
        <f>IF($H$17=1,SpeakerCorrection1!H72,0)+IF($H$17=2,SpeakerCorrection2!H72,0)+IF($H$17=3,SpeakerCorrection3!H72,0)+IF($H$17=4,SpeakerCorrection4!H72,0)</f>
        <v>0</v>
      </c>
    </row>
    <row r="202" spans="1:8" ht="12" customHeight="1">
      <c r="A202" s="82"/>
      <c r="B202" s="4" t="s">
        <v>48</v>
      </c>
      <c r="C202" s="5" t="s">
        <v>130</v>
      </c>
      <c r="D202" s="2" t="s">
        <v>125</v>
      </c>
      <c r="E202" s="7">
        <f>IF($H$17=1,SpeakerCorrection1!E73,0)+IF($H$17=2,SpeakerCorrection2!E73,0)+IF($H$17=3,SpeakerCorrection3!E73,0)+IF($H$17=4,SpeakerCorrection4!E73,0)</f>
        <v>0</v>
      </c>
      <c r="F202" s="7">
        <f>IF($H$17=1,SpeakerCorrection1!F73,0)+IF($H$17=2,SpeakerCorrection2!F73,0)+IF($H$17=3,SpeakerCorrection3!F73,0)+IF($H$17=4,SpeakerCorrection4!F73,0)</f>
        <v>0</v>
      </c>
      <c r="G202" s="7">
        <f>IF($H$17=1,SpeakerCorrection1!G73,0)+IF($H$17=2,SpeakerCorrection2!G73,0)+IF($H$17=3,SpeakerCorrection3!G73,0)+IF($H$17=4,SpeakerCorrection4!G73,0)</f>
        <v>0</v>
      </c>
      <c r="H202" s="7">
        <f>IF($H$17=1,SpeakerCorrection1!H73,0)+IF($H$17=2,SpeakerCorrection2!H73,0)+IF($H$17=3,SpeakerCorrection3!H73,0)+IF($H$17=4,SpeakerCorrection4!H73,0)</f>
        <v>0</v>
      </c>
    </row>
    <row r="203" spans="1:8" ht="12" customHeight="1">
      <c r="A203" s="82"/>
      <c r="B203" s="4" t="s">
        <v>49</v>
      </c>
      <c r="C203" s="5" t="s">
        <v>130</v>
      </c>
      <c r="D203" s="2" t="s">
        <v>125</v>
      </c>
      <c r="E203" s="7">
        <f>IF($H$17=1,SpeakerCorrection1!E74,0)+IF($H$17=2,SpeakerCorrection2!E74,0)+IF($H$17=3,SpeakerCorrection3!E74,0)+IF($H$17=4,SpeakerCorrection4!E74,0)</f>
        <v>0</v>
      </c>
      <c r="F203" s="7">
        <f>IF($H$17=1,SpeakerCorrection1!F74,0)+IF($H$17=2,SpeakerCorrection2!F74,0)+IF($H$17=3,SpeakerCorrection3!F74,0)+IF($H$17=4,SpeakerCorrection4!F74,0)</f>
        <v>0</v>
      </c>
      <c r="G203" s="7">
        <f>IF($H$17=1,SpeakerCorrection1!G74,0)+IF($H$17=2,SpeakerCorrection2!G74,0)+IF($H$17=3,SpeakerCorrection3!G74,0)+IF($H$17=4,SpeakerCorrection4!G74,0)</f>
        <v>0</v>
      </c>
      <c r="H203" s="7">
        <f>IF($H$17=1,SpeakerCorrection1!H74,0)+IF($H$17=2,SpeakerCorrection2!H74,0)+IF($H$17=3,SpeakerCorrection3!H74,0)+IF($H$17=4,SpeakerCorrection4!H74,0)</f>
        <v>0</v>
      </c>
    </row>
    <row r="204" spans="1:8" ht="12" customHeight="1">
      <c r="A204" s="82"/>
      <c r="B204" s="4" t="s">
        <v>50</v>
      </c>
      <c r="C204" s="5" t="s">
        <v>130</v>
      </c>
      <c r="D204" s="2" t="s">
        <v>125</v>
      </c>
      <c r="E204" s="7">
        <f>IF($H$17=1,SpeakerCorrection1!E75,0)+IF($H$17=2,SpeakerCorrection2!E75,0)+IF($H$17=3,SpeakerCorrection3!E75,0)+IF($H$17=4,SpeakerCorrection4!E75,0)</f>
        <v>0</v>
      </c>
      <c r="F204" s="7">
        <f>IF($H$17=1,SpeakerCorrection1!F75,0)+IF($H$17=2,SpeakerCorrection2!F75,0)+IF($H$17=3,SpeakerCorrection3!F75,0)+IF($H$17=4,SpeakerCorrection4!F75,0)</f>
        <v>0</v>
      </c>
      <c r="G204" s="7">
        <f>IF($H$17=1,SpeakerCorrection1!G75,0)+IF($H$17=2,SpeakerCorrection2!G75,0)+IF($H$17=3,SpeakerCorrection3!G75,0)+IF($H$17=4,SpeakerCorrection4!G75,0)</f>
        <v>0</v>
      </c>
      <c r="H204" s="7">
        <f>IF($H$17=1,SpeakerCorrection1!H75,0)+IF($H$17=2,SpeakerCorrection2!H75,0)+IF($H$17=3,SpeakerCorrection3!H75,0)+IF($H$17=4,SpeakerCorrection4!H75,0)</f>
        <v>0</v>
      </c>
    </row>
    <row r="205" spans="1:8" ht="12" customHeight="1">
      <c r="A205" s="82"/>
      <c r="B205" s="4" t="s">
        <v>51</v>
      </c>
      <c r="C205" s="5" t="s">
        <v>130</v>
      </c>
      <c r="D205" s="2" t="s">
        <v>125</v>
      </c>
      <c r="E205" s="7">
        <f>IF($H$17=1,SpeakerCorrection1!E76,0)+IF($H$17=2,SpeakerCorrection2!E76,0)+IF($H$17=3,SpeakerCorrection3!E76,0)+IF($H$17=4,SpeakerCorrection4!E76,0)</f>
        <v>0</v>
      </c>
      <c r="F205" s="7">
        <f>IF($H$17=1,SpeakerCorrection1!F76,0)+IF($H$17=2,SpeakerCorrection2!F76,0)+IF($H$17=3,SpeakerCorrection3!F76,0)+IF($H$17=4,SpeakerCorrection4!F76,0)</f>
        <v>0</v>
      </c>
      <c r="G205" s="7">
        <f>IF($H$17=1,SpeakerCorrection1!G76,0)+IF($H$17=2,SpeakerCorrection2!G76,0)+IF($H$17=3,SpeakerCorrection3!G76,0)+IF($H$17=4,SpeakerCorrection4!G76,0)</f>
        <v>0</v>
      </c>
      <c r="H205" s="7">
        <f>IF($H$17=1,SpeakerCorrection1!H76,0)+IF($H$17=2,SpeakerCorrection2!H76,0)+IF($H$17=3,SpeakerCorrection3!H76,0)+IF($H$17=4,SpeakerCorrection4!H76,0)</f>
        <v>0</v>
      </c>
    </row>
    <row r="206" spans="1:8" ht="12" customHeight="1">
      <c r="A206" s="83"/>
      <c r="B206" s="4" t="s">
        <v>52</v>
      </c>
      <c r="C206" s="5" t="s">
        <v>130</v>
      </c>
      <c r="D206" s="2" t="s">
        <v>125</v>
      </c>
      <c r="E206" s="7">
        <f>IF($H$17=1,SpeakerCorrection1!E77,0)+IF($H$17=2,SpeakerCorrection2!E77,0)+IF($H$17=3,SpeakerCorrection3!E77,0)+IF($H$17=4,SpeakerCorrection4!E77,0)</f>
        <v>0</v>
      </c>
      <c r="F206" s="7">
        <f>IF($H$17=1,SpeakerCorrection1!F77,0)+IF($H$17=2,SpeakerCorrection2!F77,0)+IF($H$17=3,SpeakerCorrection3!F77,0)+IF($H$17=4,SpeakerCorrection4!F77,0)</f>
        <v>0</v>
      </c>
      <c r="G206" s="7">
        <f>IF($H$17=1,SpeakerCorrection1!G77,0)+IF($H$17=2,SpeakerCorrection2!G77,0)+IF($H$17=3,SpeakerCorrection3!G77,0)+IF($H$17=4,SpeakerCorrection4!G77,0)</f>
        <v>0</v>
      </c>
      <c r="H206" s="7">
        <f>IF($H$17=1,SpeakerCorrection1!H77,0)+IF($H$17=2,SpeakerCorrection2!H77,0)+IF($H$17=3,SpeakerCorrection3!H77,0)+IF($H$17=4,SpeakerCorrection4!H77,0)</f>
        <v>0</v>
      </c>
    </row>
    <row r="207" spans="1:8" ht="12" customHeight="1">
      <c r="A207" s="81" t="s">
        <v>123</v>
      </c>
      <c r="B207" s="4">
        <v>20</v>
      </c>
      <c r="C207" s="5" t="s">
        <v>130</v>
      </c>
      <c r="D207" s="2" t="s">
        <v>124</v>
      </c>
      <c r="E207" s="53">
        <f>IF($H$17=1,SpeakerCorrection1!E78,0)+IF($H$17=2,SpeakerCorrection2!E78,0)+IF($H$17=3,SpeakerCorrection3!E78,0)+IF($H$17=4,SpeakerCorrection4!E78,0)</f>
        <v>0</v>
      </c>
      <c r="F207" s="53">
        <f>IF($H$17=1,SpeakerCorrection1!F78,0)+IF($H$17=2,SpeakerCorrection2!F78,0)+IF($H$17=3,SpeakerCorrection3!F78,0)+IF($H$17=4,SpeakerCorrection4!F78,0)</f>
        <v>0</v>
      </c>
      <c r="G207" s="53">
        <f>IF($H$17=1,SpeakerCorrection1!G78,0)+IF($H$17=2,SpeakerCorrection2!G78,0)+IF($H$17=3,SpeakerCorrection3!G78,0)+IF($H$17=4,SpeakerCorrection4!G78,0)</f>
        <v>0</v>
      </c>
      <c r="H207" s="53">
        <f>IF($H$17=1,SpeakerCorrection1!H78,0)+IF($H$17=2,SpeakerCorrection2!H78,0)+IF($H$17=3,SpeakerCorrection3!H78,0)+IF($H$17=4,SpeakerCorrection4!H78,0)</f>
        <v>0</v>
      </c>
    </row>
    <row r="208" spans="1:8" ht="12" customHeight="1">
      <c r="A208" s="82"/>
      <c r="B208" s="4">
        <v>30</v>
      </c>
      <c r="C208" s="5" t="s">
        <v>130</v>
      </c>
      <c r="D208" s="2" t="s">
        <v>124</v>
      </c>
      <c r="E208" s="53">
        <f>IF($H$17=1,SpeakerCorrection1!E79,0)+IF($H$17=2,SpeakerCorrection2!E79,0)+IF($H$17=3,SpeakerCorrection3!E79,0)+IF($H$17=4,SpeakerCorrection4!E79,0)</f>
        <v>0</v>
      </c>
      <c r="F208" s="53">
        <f>IF($H$17=1,SpeakerCorrection1!F79,0)+IF($H$17=2,SpeakerCorrection2!F79,0)+IF($H$17=3,SpeakerCorrection3!F79,0)+IF($H$17=4,SpeakerCorrection4!F79,0)</f>
        <v>0</v>
      </c>
      <c r="G208" s="53">
        <f>IF($H$17=1,SpeakerCorrection1!G79,0)+IF($H$17=2,SpeakerCorrection2!G79,0)+IF($H$17=3,SpeakerCorrection3!G79,0)+IF($H$17=4,SpeakerCorrection4!G79,0)</f>
        <v>0</v>
      </c>
      <c r="H208" s="53">
        <f>IF($H$17=1,SpeakerCorrection1!H79,0)+IF($H$17=2,SpeakerCorrection2!H79,0)+IF($H$17=3,SpeakerCorrection3!H79,0)+IF($H$17=4,SpeakerCorrection4!H79,0)</f>
        <v>0</v>
      </c>
    </row>
    <row r="209" spans="1:8" ht="12" customHeight="1">
      <c r="A209" s="82"/>
      <c r="B209" s="4">
        <v>40</v>
      </c>
      <c r="C209" s="5" t="s">
        <v>130</v>
      </c>
      <c r="D209" s="2" t="s">
        <v>124</v>
      </c>
      <c r="E209" s="53">
        <f>IF($H$17=1,SpeakerCorrection1!E80,0)+IF($H$17=2,SpeakerCorrection2!E80,0)+IF($H$17=3,SpeakerCorrection3!E80,0)+IF($H$17=4,SpeakerCorrection4!E80,0)</f>
        <v>0</v>
      </c>
      <c r="F209" s="53">
        <f>IF($H$17=1,SpeakerCorrection1!F80,0)+IF($H$17=2,SpeakerCorrection2!F80,0)+IF($H$17=3,SpeakerCorrection3!F80,0)+IF($H$17=4,SpeakerCorrection4!F80,0)</f>
        <v>0</v>
      </c>
      <c r="G209" s="53">
        <f>IF($H$17=1,SpeakerCorrection1!G80,0)+IF($H$17=2,SpeakerCorrection2!G80,0)+IF($H$17=3,SpeakerCorrection3!G80,0)+IF($H$17=4,SpeakerCorrection4!G80,0)</f>
        <v>0</v>
      </c>
      <c r="H209" s="53">
        <f>IF($H$17=1,SpeakerCorrection1!H80,0)+IF($H$17=2,SpeakerCorrection2!H80,0)+IF($H$17=3,SpeakerCorrection3!H80,0)+IF($H$17=4,SpeakerCorrection4!H80,0)</f>
        <v>0</v>
      </c>
    </row>
    <row r="210" spans="1:8" ht="12" customHeight="1">
      <c r="A210" s="82"/>
      <c r="B210" s="4">
        <v>50</v>
      </c>
      <c r="C210" s="5" t="s">
        <v>130</v>
      </c>
      <c r="D210" s="2" t="s">
        <v>124</v>
      </c>
      <c r="E210" s="53">
        <f>IF($H$17=1,SpeakerCorrection1!E81,0)+IF($H$17=2,SpeakerCorrection2!E81,0)+IF($H$17=3,SpeakerCorrection3!E81,0)+IF($H$17=4,SpeakerCorrection4!E81,0)</f>
        <v>0</v>
      </c>
      <c r="F210" s="53">
        <f>IF($H$17=1,SpeakerCorrection1!F81,0)+IF($H$17=2,SpeakerCorrection2!F81,0)+IF($H$17=3,SpeakerCorrection3!F81,0)+IF($H$17=4,SpeakerCorrection4!F81,0)</f>
        <v>0</v>
      </c>
      <c r="G210" s="53">
        <f>IF($H$17=1,SpeakerCorrection1!G81,0)+IF($H$17=2,SpeakerCorrection2!G81,0)+IF($H$17=3,SpeakerCorrection3!G81,0)+IF($H$17=4,SpeakerCorrection4!G81,0)</f>
        <v>0</v>
      </c>
      <c r="H210" s="53">
        <f>IF($H$17=1,SpeakerCorrection1!H81,0)+IF($H$17=2,SpeakerCorrection2!H81,0)+IF($H$17=3,SpeakerCorrection3!H81,0)+IF($H$17=4,SpeakerCorrection4!H81,0)</f>
        <v>0</v>
      </c>
    </row>
    <row r="211" spans="1:8" ht="12" customHeight="1">
      <c r="A211" s="82"/>
      <c r="B211" s="4">
        <v>70</v>
      </c>
      <c r="C211" s="5" t="s">
        <v>130</v>
      </c>
      <c r="D211" s="2" t="s">
        <v>124</v>
      </c>
      <c r="E211" s="53">
        <f>IF($H$17=1,SpeakerCorrection1!E82,0)+IF($H$17=2,SpeakerCorrection2!E82,0)+IF($H$17=3,SpeakerCorrection3!E82,0)+IF($H$17=4,SpeakerCorrection4!E82,0)</f>
        <v>0</v>
      </c>
      <c r="F211" s="53">
        <f>IF($H$17=1,SpeakerCorrection1!F82,0)+IF($H$17=2,SpeakerCorrection2!F82,0)+IF($H$17=3,SpeakerCorrection3!F82,0)+IF($H$17=4,SpeakerCorrection4!F82,0)</f>
        <v>0</v>
      </c>
      <c r="G211" s="53">
        <f>IF($H$17=1,SpeakerCorrection1!G82,0)+IF($H$17=2,SpeakerCorrection2!G82,0)+IF($H$17=3,SpeakerCorrection3!G82,0)+IF($H$17=4,SpeakerCorrection4!G82,0)</f>
        <v>0</v>
      </c>
      <c r="H211" s="53">
        <f>IF($H$17=1,SpeakerCorrection1!H82,0)+IF($H$17=2,SpeakerCorrection2!H82,0)+IF($H$17=3,SpeakerCorrection3!H82,0)+IF($H$17=4,SpeakerCorrection4!H82,0)</f>
        <v>0</v>
      </c>
    </row>
    <row r="212" spans="1:8" ht="12" customHeight="1">
      <c r="A212" s="82"/>
      <c r="B212" s="4">
        <v>100</v>
      </c>
      <c r="C212" s="5" t="s">
        <v>130</v>
      </c>
      <c r="D212" s="2" t="s">
        <v>124</v>
      </c>
      <c r="E212" s="53">
        <f>IF($H$17=1,SpeakerCorrection1!E83,0)+IF($H$17=2,SpeakerCorrection2!E83,0)+IF($H$17=3,SpeakerCorrection3!E83,0)+IF($H$17=4,SpeakerCorrection4!E83,0)</f>
        <v>0</v>
      </c>
      <c r="F212" s="53">
        <f>IF($H$17=1,SpeakerCorrection1!F83,0)+IF($H$17=2,SpeakerCorrection2!F83,0)+IF($H$17=3,SpeakerCorrection3!F83,0)+IF($H$17=4,SpeakerCorrection4!F83,0)</f>
        <v>0</v>
      </c>
      <c r="G212" s="53">
        <f>IF($H$17=1,SpeakerCorrection1!G83,0)+IF($H$17=2,SpeakerCorrection2!G83,0)+IF($H$17=3,SpeakerCorrection3!G83,0)+IF($H$17=4,SpeakerCorrection4!G83,0)</f>
        <v>0</v>
      </c>
      <c r="H212" s="53">
        <f>IF($H$17=1,SpeakerCorrection1!H83,0)+IF($H$17=2,SpeakerCorrection2!H83,0)+IF($H$17=3,SpeakerCorrection3!H83,0)+IF($H$17=4,SpeakerCorrection4!H83,0)</f>
        <v>0</v>
      </c>
    </row>
    <row r="213" spans="1:8" ht="12" customHeight="1">
      <c r="A213" s="82"/>
      <c r="B213" s="4">
        <v>150</v>
      </c>
      <c r="C213" s="5" t="s">
        <v>130</v>
      </c>
      <c r="D213" s="2" t="s">
        <v>124</v>
      </c>
      <c r="E213" s="53">
        <f>IF($H$17=1,SpeakerCorrection1!E84,0)+IF($H$17=2,SpeakerCorrection2!E84,0)+IF($H$17=3,SpeakerCorrection3!E84,0)+IF($H$17=4,SpeakerCorrection4!E84,0)</f>
        <v>0</v>
      </c>
      <c r="F213" s="53">
        <f>IF($H$17=1,SpeakerCorrection1!F84,0)+IF($H$17=2,SpeakerCorrection2!F84,0)+IF($H$17=3,SpeakerCorrection3!F84,0)+IF($H$17=4,SpeakerCorrection4!F84,0)</f>
        <v>0</v>
      </c>
      <c r="G213" s="53">
        <f>IF($H$17=1,SpeakerCorrection1!G84,0)+IF($H$17=2,SpeakerCorrection2!G84,0)+IF($H$17=3,SpeakerCorrection3!G84,0)+IF($H$17=4,SpeakerCorrection4!G84,0)</f>
        <v>0</v>
      </c>
      <c r="H213" s="53">
        <f>IF($H$17=1,SpeakerCorrection1!H84,0)+IF($H$17=2,SpeakerCorrection2!H84,0)+IF($H$17=3,SpeakerCorrection3!H84,0)+IF($H$17=4,SpeakerCorrection4!H84,0)</f>
        <v>0</v>
      </c>
    </row>
    <row r="214" spans="1:8" ht="12" customHeight="1">
      <c r="A214" s="82"/>
      <c r="B214" s="4">
        <v>200</v>
      </c>
      <c r="C214" s="5" t="s">
        <v>130</v>
      </c>
      <c r="D214" s="2" t="s">
        <v>124</v>
      </c>
      <c r="E214" s="53">
        <f>IF($H$17=1,SpeakerCorrection1!E85,0)+IF($H$17=2,SpeakerCorrection2!E85,0)+IF($H$17=3,SpeakerCorrection3!E85,0)+IF($H$17=4,SpeakerCorrection4!E85,0)</f>
        <v>0</v>
      </c>
      <c r="F214" s="53">
        <f>IF($H$17=1,SpeakerCorrection1!F85,0)+IF($H$17=2,SpeakerCorrection2!F85,0)+IF($H$17=3,SpeakerCorrection3!F85,0)+IF($H$17=4,SpeakerCorrection4!F85,0)</f>
        <v>0</v>
      </c>
      <c r="G214" s="53">
        <f>IF($H$17=1,SpeakerCorrection1!G85,0)+IF($H$17=2,SpeakerCorrection2!G85,0)+IF($H$17=3,SpeakerCorrection3!G85,0)+IF($H$17=4,SpeakerCorrection4!G85,0)</f>
        <v>0</v>
      </c>
      <c r="H214" s="53">
        <f>IF($H$17=1,SpeakerCorrection1!H85,0)+IF($H$17=2,SpeakerCorrection2!H85,0)+IF($H$17=3,SpeakerCorrection3!H85,0)+IF($H$17=4,SpeakerCorrection4!H85,0)</f>
        <v>0</v>
      </c>
    </row>
    <row r="215" spans="1:8" ht="12" customHeight="1">
      <c r="A215" s="82"/>
      <c r="B215" s="4">
        <v>300</v>
      </c>
      <c r="C215" s="5" t="s">
        <v>130</v>
      </c>
      <c r="D215" s="2" t="s">
        <v>124</v>
      </c>
      <c r="E215" s="53">
        <f>IF($H$17=1,SpeakerCorrection1!E86,0)+IF($H$17=2,SpeakerCorrection2!E86,0)+IF($H$17=3,SpeakerCorrection3!E86,0)+IF($H$17=4,SpeakerCorrection4!E86,0)</f>
        <v>0</v>
      </c>
      <c r="F215" s="53">
        <f>IF($H$17=1,SpeakerCorrection1!F86,0)+IF($H$17=2,SpeakerCorrection2!F86,0)+IF($H$17=3,SpeakerCorrection3!F86,0)+IF($H$17=4,SpeakerCorrection4!F86,0)</f>
        <v>0</v>
      </c>
      <c r="G215" s="53">
        <f>IF($H$17=1,SpeakerCorrection1!G86,0)+IF($H$17=2,SpeakerCorrection2!G86,0)+IF($H$17=3,SpeakerCorrection3!G86,0)+IF($H$17=4,SpeakerCorrection4!G86,0)</f>
        <v>0</v>
      </c>
      <c r="H215" s="53">
        <f>IF($H$17=1,SpeakerCorrection1!H86,0)+IF($H$17=2,SpeakerCorrection2!H86,0)+IF($H$17=3,SpeakerCorrection3!H86,0)+IF($H$17=4,SpeakerCorrection4!H86,0)</f>
        <v>0</v>
      </c>
    </row>
    <row r="216" spans="1:8" ht="12" customHeight="1">
      <c r="A216" s="82"/>
      <c r="B216" s="4">
        <v>400</v>
      </c>
      <c r="C216" s="5" t="s">
        <v>130</v>
      </c>
      <c r="D216" s="2" t="s">
        <v>124</v>
      </c>
      <c r="E216" s="53">
        <f>IF($H$17=1,SpeakerCorrection1!E87,0)+IF($H$17=2,SpeakerCorrection2!E87,0)+IF($H$17=3,SpeakerCorrection3!E87,0)+IF($H$17=4,SpeakerCorrection4!E87,0)</f>
        <v>0</v>
      </c>
      <c r="F216" s="53">
        <f>IF($H$17=1,SpeakerCorrection1!F87,0)+IF($H$17=2,SpeakerCorrection2!F87,0)+IF($H$17=3,SpeakerCorrection3!F87,0)+IF($H$17=4,SpeakerCorrection4!F87,0)</f>
        <v>0</v>
      </c>
      <c r="G216" s="53">
        <f>IF($H$17=1,SpeakerCorrection1!G87,0)+IF($H$17=2,SpeakerCorrection2!G87,0)+IF($H$17=3,SpeakerCorrection3!G87,0)+IF($H$17=4,SpeakerCorrection4!G87,0)</f>
        <v>0</v>
      </c>
      <c r="H216" s="53">
        <f>IF($H$17=1,SpeakerCorrection1!H87,0)+IF($H$17=2,SpeakerCorrection2!H87,0)+IF($H$17=3,SpeakerCorrection3!H87,0)+IF($H$17=4,SpeakerCorrection4!H87,0)</f>
        <v>0</v>
      </c>
    </row>
    <row r="217" spans="1:8" ht="12" customHeight="1">
      <c r="A217" s="82"/>
      <c r="B217" s="4">
        <v>500</v>
      </c>
      <c r="C217" s="5" t="s">
        <v>130</v>
      </c>
      <c r="D217" s="2" t="s">
        <v>124</v>
      </c>
      <c r="E217" s="53">
        <f>IF($H$17=1,SpeakerCorrection1!E88,0)+IF($H$17=2,SpeakerCorrection2!E88,0)+IF($H$17=3,SpeakerCorrection3!E88,0)+IF($H$17=4,SpeakerCorrection4!E88,0)</f>
        <v>0</v>
      </c>
      <c r="F217" s="53">
        <f>IF($H$17=1,SpeakerCorrection1!F88,0)+IF($H$17=2,SpeakerCorrection2!F88,0)+IF($H$17=3,SpeakerCorrection3!F88,0)+IF($H$17=4,SpeakerCorrection4!F88,0)</f>
        <v>0</v>
      </c>
      <c r="G217" s="53">
        <f>IF($H$17=1,SpeakerCorrection1!G88,0)+IF($H$17=2,SpeakerCorrection2!G88,0)+IF($H$17=3,SpeakerCorrection3!G88,0)+IF($H$17=4,SpeakerCorrection4!G88,0)</f>
        <v>0</v>
      </c>
      <c r="H217" s="53">
        <f>IF($H$17=1,SpeakerCorrection1!H88,0)+IF($H$17=2,SpeakerCorrection2!H88,0)+IF($H$17=3,SpeakerCorrection3!H88,0)+IF($H$17=4,SpeakerCorrection4!H88,0)</f>
        <v>0</v>
      </c>
    </row>
    <row r="218" spans="1:8" ht="12" customHeight="1">
      <c r="A218" s="82"/>
      <c r="B218" s="4">
        <v>700</v>
      </c>
      <c r="C218" s="5" t="s">
        <v>130</v>
      </c>
      <c r="D218" s="2" t="s">
        <v>124</v>
      </c>
      <c r="E218" s="53">
        <f>IF($H$17=1,SpeakerCorrection1!E89,0)+IF($H$17=2,SpeakerCorrection2!E89,0)+IF($H$17=3,SpeakerCorrection3!E89,0)+IF($H$17=4,SpeakerCorrection4!E89,0)</f>
        <v>0</v>
      </c>
      <c r="F218" s="53">
        <f>IF($H$17=1,SpeakerCorrection1!F89,0)+IF($H$17=2,SpeakerCorrection2!F89,0)+IF($H$17=3,SpeakerCorrection3!F89,0)+IF($H$17=4,SpeakerCorrection4!F89,0)</f>
        <v>0</v>
      </c>
      <c r="G218" s="53">
        <f>IF($H$17=1,SpeakerCorrection1!G89,0)+IF($H$17=2,SpeakerCorrection2!G89,0)+IF($H$17=3,SpeakerCorrection3!G89,0)+IF($H$17=4,SpeakerCorrection4!G89,0)</f>
        <v>0</v>
      </c>
      <c r="H218" s="53">
        <f>IF($H$17=1,SpeakerCorrection1!H89,0)+IF($H$17=2,SpeakerCorrection2!H89,0)+IF($H$17=3,SpeakerCorrection3!H89,0)+IF($H$17=4,SpeakerCorrection4!H89,0)</f>
        <v>0</v>
      </c>
    </row>
    <row r="219" spans="1:8" ht="12" customHeight="1">
      <c r="A219" s="82"/>
      <c r="B219" s="4" t="s">
        <v>21</v>
      </c>
      <c r="C219" s="5" t="s">
        <v>130</v>
      </c>
      <c r="D219" s="2" t="s">
        <v>124</v>
      </c>
      <c r="E219" s="53">
        <f>IF($H$17=1,SpeakerCorrection1!E90,0)+IF($H$17=2,SpeakerCorrection2!E90,0)+IF($H$17=3,SpeakerCorrection3!E90,0)+IF($H$17=4,SpeakerCorrection4!E90,0)</f>
        <v>0</v>
      </c>
      <c r="F219" s="53">
        <f>IF($H$17=1,SpeakerCorrection1!F90,0)+IF($H$17=2,SpeakerCorrection2!F90,0)+IF($H$17=3,SpeakerCorrection3!F90,0)+IF($H$17=4,SpeakerCorrection4!F90,0)</f>
        <v>0</v>
      </c>
      <c r="G219" s="53">
        <f>IF($H$17=1,SpeakerCorrection1!G90,0)+IF($H$17=2,SpeakerCorrection2!G90,0)+IF($H$17=3,SpeakerCorrection3!G90,0)+IF($H$17=4,SpeakerCorrection4!G90,0)</f>
        <v>0</v>
      </c>
      <c r="H219" s="53">
        <f>IF($H$17=1,SpeakerCorrection1!H90,0)+IF($H$17=2,SpeakerCorrection2!H90,0)+IF($H$17=3,SpeakerCorrection3!H90,0)+IF($H$17=4,SpeakerCorrection4!H90,0)</f>
        <v>0</v>
      </c>
    </row>
    <row r="220" spans="1:8" ht="12" customHeight="1">
      <c r="A220" s="82"/>
      <c r="B220" s="4" t="s">
        <v>22</v>
      </c>
      <c r="C220" s="5" t="s">
        <v>130</v>
      </c>
      <c r="D220" s="2" t="s">
        <v>124</v>
      </c>
      <c r="E220" s="53">
        <f>IF($H$17=1,SpeakerCorrection1!E91,0)+IF($H$17=2,SpeakerCorrection2!E91,0)+IF($H$17=3,SpeakerCorrection3!E91,0)+IF($H$17=4,SpeakerCorrection4!E91,0)</f>
        <v>0</v>
      </c>
      <c r="F220" s="53">
        <f>IF($H$17=1,SpeakerCorrection1!F91,0)+IF($H$17=2,SpeakerCorrection2!F91,0)+IF($H$17=3,SpeakerCorrection3!F91,0)+IF($H$17=4,SpeakerCorrection4!F91,0)</f>
        <v>0</v>
      </c>
      <c r="G220" s="53">
        <f>IF($H$17=1,SpeakerCorrection1!G91,0)+IF($H$17=2,SpeakerCorrection2!G91,0)+IF($H$17=3,SpeakerCorrection3!G91,0)+IF($H$17=4,SpeakerCorrection4!G91,0)</f>
        <v>0</v>
      </c>
      <c r="H220" s="53">
        <f>IF($H$17=1,SpeakerCorrection1!H91,0)+IF($H$17=2,SpeakerCorrection2!H91,0)+IF($H$17=3,SpeakerCorrection3!H91,0)+IF($H$17=4,SpeakerCorrection4!H91,0)</f>
        <v>0</v>
      </c>
    </row>
    <row r="221" spans="1:8" ht="12" customHeight="1">
      <c r="A221" s="82"/>
      <c r="B221" s="4" t="s">
        <v>23</v>
      </c>
      <c r="C221" s="5" t="s">
        <v>130</v>
      </c>
      <c r="D221" s="2" t="s">
        <v>124</v>
      </c>
      <c r="E221" s="53">
        <f>IF($H$17=1,SpeakerCorrection1!E92,0)+IF($H$17=2,SpeakerCorrection2!E92,0)+IF($H$17=3,SpeakerCorrection3!E92,0)+IF($H$17=4,SpeakerCorrection4!E92,0)</f>
        <v>0</v>
      </c>
      <c r="F221" s="53">
        <f>IF($H$17=1,SpeakerCorrection1!F92,0)+IF($H$17=2,SpeakerCorrection2!F92,0)+IF($H$17=3,SpeakerCorrection3!F92,0)+IF($H$17=4,SpeakerCorrection4!F92,0)</f>
        <v>0</v>
      </c>
      <c r="G221" s="53">
        <f>IF($H$17=1,SpeakerCorrection1!G92,0)+IF($H$17=2,SpeakerCorrection2!G92,0)+IF($H$17=3,SpeakerCorrection3!G92,0)+IF($H$17=4,SpeakerCorrection4!G92,0)</f>
        <v>0</v>
      </c>
      <c r="H221" s="53">
        <f>IF($H$17=1,SpeakerCorrection1!H92,0)+IF($H$17=2,SpeakerCorrection2!H92,0)+IF($H$17=3,SpeakerCorrection3!H92,0)+IF($H$17=4,SpeakerCorrection4!H92,0)</f>
        <v>0</v>
      </c>
    </row>
    <row r="222" spans="1:8" ht="12" customHeight="1">
      <c r="A222" s="82"/>
      <c r="B222" s="4" t="s">
        <v>24</v>
      </c>
      <c r="C222" s="5" t="s">
        <v>130</v>
      </c>
      <c r="D222" s="2" t="s">
        <v>124</v>
      </c>
      <c r="E222" s="53">
        <f>IF($H$17=1,SpeakerCorrection1!E93,0)+IF($H$17=2,SpeakerCorrection2!E93,0)+IF($H$17=3,SpeakerCorrection3!E93,0)+IF($H$17=4,SpeakerCorrection4!E93,0)</f>
        <v>0</v>
      </c>
      <c r="F222" s="53">
        <f>IF($H$17=1,SpeakerCorrection1!F93,0)+IF($H$17=2,SpeakerCorrection2!F93,0)+IF($H$17=3,SpeakerCorrection3!F93,0)+IF($H$17=4,SpeakerCorrection4!F93,0)</f>
        <v>0</v>
      </c>
      <c r="G222" s="53">
        <f>IF($H$17=1,SpeakerCorrection1!G93,0)+IF($H$17=2,SpeakerCorrection2!G93,0)+IF($H$17=3,SpeakerCorrection3!G93,0)+IF($H$17=4,SpeakerCorrection4!G93,0)</f>
        <v>0</v>
      </c>
      <c r="H222" s="53">
        <f>IF($H$17=1,SpeakerCorrection1!H93,0)+IF($H$17=2,SpeakerCorrection2!H93,0)+IF($H$17=3,SpeakerCorrection3!H93,0)+IF($H$17=4,SpeakerCorrection4!H93,0)</f>
        <v>0</v>
      </c>
    </row>
    <row r="223" spans="1:8" ht="12" customHeight="1">
      <c r="A223" s="82"/>
      <c r="B223" s="4" t="s">
        <v>25</v>
      </c>
      <c r="C223" s="5" t="s">
        <v>130</v>
      </c>
      <c r="D223" s="2" t="s">
        <v>124</v>
      </c>
      <c r="E223" s="53">
        <f>IF($H$17=1,SpeakerCorrection1!E94,0)+IF($H$17=2,SpeakerCorrection2!E94,0)+IF($H$17=3,SpeakerCorrection3!E94,0)+IF($H$17=4,SpeakerCorrection4!E94,0)</f>
        <v>0</v>
      </c>
      <c r="F223" s="53">
        <f>IF($H$17=1,SpeakerCorrection1!F94,0)+IF($H$17=2,SpeakerCorrection2!F94,0)+IF($H$17=3,SpeakerCorrection3!F94,0)+IF($H$17=4,SpeakerCorrection4!F94,0)</f>
        <v>0</v>
      </c>
      <c r="G223" s="53">
        <f>IF($H$17=1,SpeakerCorrection1!G94,0)+IF($H$17=2,SpeakerCorrection2!G94,0)+IF($H$17=3,SpeakerCorrection3!G94,0)+IF($H$17=4,SpeakerCorrection4!G94,0)</f>
        <v>0</v>
      </c>
      <c r="H223" s="53">
        <f>IF($H$17=1,SpeakerCorrection1!H94,0)+IF($H$17=2,SpeakerCorrection2!H94,0)+IF($H$17=3,SpeakerCorrection3!H94,0)+IF($H$17=4,SpeakerCorrection4!H94,0)</f>
        <v>0</v>
      </c>
    </row>
    <row r="224" spans="1:8" ht="12" customHeight="1">
      <c r="A224" s="82"/>
      <c r="B224" s="4" t="s">
        <v>26</v>
      </c>
      <c r="C224" s="5" t="s">
        <v>130</v>
      </c>
      <c r="D224" s="2" t="s">
        <v>124</v>
      </c>
      <c r="E224" s="53">
        <f>IF($H$17=1,SpeakerCorrection1!E95,0)+IF($H$17=2,SpeakerCorrection2!E95,0)+IF($H$17=3,SpeakerCorrection3!E95,0)+IF($H$17=4,SpeakerCorrection4!E95,0)</f>
        <v>0</v>
      </c>
      <c r="F224" s="53">
        <f>IF($H$17=1,SpeakerCorrection1!F95,0)+IF($H$17=2,SpeakerCorrection2!F95,0)+IF($H$17=3,SpeakerCorrection3!F95,0)+IF($H$17=4,SpeakerCorrection4!F95,0)</f>
        <v>0</v>
      </c>
      <c r="G224" s="53">
        <f>IF($H$17=1,SpeakerCorrection1!G95,0)+IF($H$17=2,SpeakerCorrection2!G95,0)+IF($H$17=3,SpeakerCorrection3!G95,0)+IF($H$17=4,SpeakerCorrection4!G95,0)</f>
        <v>0</v>
      </c>
      <c r="H224" s="53">
        <f>IF($H$17=1,SpeakerCorrection1!H95,0)+IF($H$17=2,SpeakerCorrection2!H95,0)+IF($H$17=3,SpeakerCorrection3!H95,0)+IF($H$17=4,SpeakerCorrection4!H95,0)</f>
        <v>0</v>
      </c>
    </row>
    <row r="225" spans="1:8" ht="12" customHeight="1">
      <c r="A225" s="82"/>
      <c r="B225" s="4" t="s">
        <v>27</v>
      </c>
      <c r="C225" s="5" t="s">
        <v>130</v>
      </c>
      <c r="D225" s="2" t="s">
        <v>124</v>
      </c>
      <c r="E225" s="53">
        <f>IF($H$17=1,SpeakerCorrection1!E96,0)+IF($H$17=2,SpeakerCorrection2!E96,0)+IF($H$17=3,SpeakerCorrection3!E96,0)+IF($H$17=4,SpeakerCorrection4!E96,0)</f>
        <v>0</v>
      </c>
      <c r="F225" s="53">
        <f>IF($H$17=1,SpeakerCorrection1!F96,0)+IF($H$17=2,SpeakerCorrection2!F96,0)+IF($H$17=3,SpeakerCorrection3!F96,0)+IF($H$17=4,SpeakerCorrection4!F96,0)</f>
        <v>0</v>
      </c>
      <c r="G225" s="53">
        <f>IF($H$17=1,SpeakerCorrection1!G96,0)+IF($H$17=2,SpeakerCorrection2!G96,0)+IF($H$17=3,SpeakerCorrection3!G96,0)+IF($H$17=4,SpeakerCorrection4!G96,0)</f>
        <v>0</v>
      </c>
      <c r="H225" s="53">
        <f>IF($H$17=1,SpeakerCorrection1!H96,0)+IF($H$17=2,SpeakerCorrection2!H96,0)+IF($H$17=3,SpeakerCorrection3!H96,0)+IF($H$17=4,SpeakerCorrection4!H96,0)</f>
        <v>0</v>
      </c>
    </row>
    <row r="226" spans="1:8" ht="12" customHeight="1">
      <c r="A226" s="82"/>
      <c r="B226" s="4" t="s">
        <v>28</v>
      </c>
      <c r="C226" s="5" t="s">
        <v>130</v>
      </c>
      <c r="D226" s="2" t="s">
        <v>124</v>
      </c>
      <c r="E226" s="53">
        <f>IF($H$17=1,SpeakerCorrection1!E97,0)+IF($H$17=2,SpeakerCorrection2!E97,0)+IF($H$17=3,SpeakerCorrection3!E97,0)+IF($H$17=4,SpeakerCorrection4!E97,0)</f>
        <v>0</v>
      </c>
      <c r="F226" s="53">
        <f>IF($H$17=1,SpeakerCorrection1!F97,0)+IF($H$17=2,SpeakerCorrection2!F97,0)+IF($H$17=3,SpeakerCorrection3!F97,0)+IF($H$17=4,SpeakerCorrection4!F97,0)</f>
        <v>0</v>
      </c>
      <c r="G226" s="53">
        <f>IF($H$17=1,SpeakerCorrection1!G97,0)+IF($H$17=2,SpeakerCorrection2!G97,0)+IF($H$17=3,SpeakerCorrection3!G97,0)+IF($H$17=4,SpeakerCorrection4!G97,0)</f>
        <v>0</v>
      </c>
      <c r="H226" s="53">
        <f>IF($H$17=1,SpeakerCorrection1!H97,0)+IF($H$17=2,SpeakerCorrection2!H97,0)+IF($H$17=3,SpeakerCorrection3!H97,0)+IF($H$17=4,SpeakerCorrection4!H97,0)</f>
        <v>0</v>
      </c>
    </row>
    <row r="227" spans="1:8" ht="12" customHeight="1">
      <c r="A227" s="82"/>
      <c r="B227" s="4" t="s">
        <v>29</v>
      </c>
      <c r="C227" s="5" t="s">
        <v>130</v>
      </c>
      <c r="D227" s="2" t="s">
        <v>124</v>
      </c>
      <c r="E227" s="53">
        <f>IF($H$17=1,SpeakerCorrection1!E98,0)+IF($H$17=2,SpeakerCorrection2!E98,0)+IF($H$17=3,SpeakerCorrection3!E98,0)+IF($H$17=4,SpeakerCorrection4!E98,0)</f>
        <v>0</v>
      </c>
      <c r="F227" s="53">
        <f>IF($H$17=1,SpeakerCorrection1!F98,0)+IF($H$17=2,SpeakerCorrection2!F98,0)+IF($H$17=3,SpeakerCorrection3!F98,0)+IF($H$17=4,SpeakerCorrection4!F98,0)</f>
        <v>0</v>
      </c>
      <c r="G227" s="53">
        <f>IF($H$17=1,SpeakerCorrection1!G98,0)+IF($H$17=2,SpeakerCorrection2!G98,0)+IF($H$17=3,SpeakerCorrection3!G98,0)+IF($H$17=4,SpeakerCorrection4!G98,0)</f>
        <v>0</v>
      </c>
      <c r="H227" s="53">
        <f>IF($H$17=1,SpeakerCorrection1!H98,0)+IF($H$17=2,SpeakerCorrection2!H98,0)+IF($H$17=3,SpeakerCorrection3!H98,0)+IF($H$17=4,SpeakerCorrection4!H98,0)</f>
        <v>0</v>
      </c>
    </row>
    <row r="228" spans="1:8" ht="12" customHeight="1">
      <c r="A228" s="83"/>
      <c r="B228" s="4" t="s">
        <v>30</v>
      </c>
      <c r="C228" s="5" t="s">
        <v>130</v>
      </c>
      <c r="D228" s="2" t="s">
        <v>124</v>
      </c>
      <c r="E228" s="53">
        <f>IF($H$17=1,SpeakerCorrection1!E99,0)+IF($H$17=2,SpeakerCorrection2!E99,0)+IF($H$17=3,SpeakerCorrection3!E99,0)+IF($H$17=4,SpeakerCorrection4!E99,0)</f>
        <v>0</v>
      </c>
      <c r="F228" s="53">
        <f>IF($H$17=1,SpeakerCorrection1!F99,0)+IF($H$17=2,SpeakerCorrection2!F99,0)+IF($H$17=3,SpeakerCorrection3!F99,0)+IF($H$17=4,SpeakerCorrection4!F99,0)</f>
        <v>0</v>
      </c>
      <c r="G228" s="53">
        <f>IF($H$17=1,SpeakerCorrection1!G99,0)+IF($H$17=2,SpeakerCorrection2!G99,0)+IF($H$17=3,SpeakerCorrection3!G99,0)+IF($H$17=4,SpeakerCorrection4!G99,0)</f>
        <v>0</v>
      </c>
      <c r="H228" s="53">
        <f>IF($H$17=1,SpeakerCorrection1!H99,0)+IF($H$17=2,SpeakerCorrection2!H99,0)+IF($H$17=3,SpeakerCorrection3!H99,0)+IF($H$17=4,SpeakerCorrection4!H99,0)</f>
        <v>0</v>
      </c>
    </row>
  </sheetData>
  <sheetProtection password="BF23" sheet="1" objects="1" scenarios="1"/>
  <mergeCells count="20">
    <mergeCell ref="A163:A184"/>
    <mergeCell ref="A97:A118"/>
    <mergeCell ref="A119:A140"/>
    <mergeCell ref="A53:A74"/>
    <mergeCell ref="B20:C20"/>
    <mergeCell ref="G16:H16"/>
    <mergeCell ref="A1:F1"/>
    <mergeCell ref="A75:A96"/>
    <mergeCell ref="A141:A162"/>
    <mergeCell ref="A18:A19"/>
    <mergeCell ref="A23:A30"/>
    <mergeCell ref="A31:A37"/>
    <mergeCell ref="A38:A45"/>
    <mergeCell ref="A46:A52"/>
    <mergeCell ref="I29:L29"/>
    <mergeCell ref="M29:M30"/>
    <mergeCell ref="M31:M52"/>
    <mergeCell ref="M53:M74"/>
    <mergeCell ref="A185:A206"/>
    <mergeCell ref="A207:A228"/>
  </mergeCells>
  <printOptions horizontalCentered="1"/>
  <pageMargins left="0.7874015748031497" right="0.3937007874015748" top="0.787401574803149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19.375" style="0" customWidth="1"/>
    <col min="2" max="2" width="14.125" style="0" customWidth="1"/>
    <col min="3" max="4" width="5.875" style="0" customWidth="1"/>
    <col min="5" max="16" width="11.125" style="0" customWidth="1"/>
  </cols>
  <sheetData>
    <row r="1" spans="1:9" ht="15" customHeight="1">
      <c r="A1" s="88" t="s">
        <v>166</v>
      </c>
      <c r="B1" s="98"/>
      <c r="C1" s="98"/>
      <c r="D1" s="98"/>
      <c r="E1" s="98"/>
      <c r="F1" s="99"/>
      <c r="G1" s="34" t="s">
        <v>150</v>
      </c>
      <c r="H1" s="35" t="s">
        <v>149</v>
      </c>
      <c r="I1" s="65" t="s">
        <v>135</v>
      </c>
    </row>
    <row r="2" spans="1:16" ht="15" customHeight="1">
      <c r="A2" s="27"/>
      <c r="B2" s="28"/>
      <c r="C2" s="28"/>
      <c r="D2" s="28"/>
      <c r="E2" s="28"/>
      <c r="F2" s="28"/>
      <c r="G2" s="28"/>
      <c r="H2" s="29"/>
      <c r="I2" s="66" t="s">
        <v>136</v>
      </c>
      <c r="J2" s="1"/>
      <c r="K2" s="1"/>
      <c r="L2" s="1"/>
      <c r="M2" s="1"/>
      <c r="N2" s="1"/>
      <c r="O2" s="1"/>
      <c r="P2" s="1"/>
    </row>
    <row r="3" spans="1:16" ht="15" customHeight="1">
      <c r="A3" s="27"/>
      <c r="B3" s="28"/>
      <c r="C3" s="28"/>
      <c r="D3" s="28"/>
      <c r="E3" s="28"/>
      <c r="F3" s="28"/>
      <c r="G3" s="28"/>
      <c r="H3" s="29"/>
      <c r="I3" s="1" t="s">
        <v>138</v>
      </c>
      <c r="J3" s="1"/>
      <c r="K3" s="1"/>
      <c r="L3" s="1"/>
      <c r="M3" s="1"/>
      <c r="N3" s="1"/>
      <c r="O3" s="1"/>
      <c r="P3" s="1"/>
    </row>
    <row r="4" spans="1:16" ht="15" customHeight="1">
      <c r="A4" s="27"/>
      <c r="B4" s="28"/>
      <c r="C4" s="28"/>
      <c r="D4" s="28"/>
      <c r="E4" s="28"/>
      <c r="F4" s="28"/>
      <c r="G4" s="28"/>
      <c r="H4" s="29"/>
      <c r="I4" s="1" t="s">
        <v>139</v>
      </c>
      <c r="J4" s="1"/>
      <c r="K4" s="1"/>
      <c r="L4" s="1"/>
      <c r="M4" s="1"/>
      <c r="N4" s="1"/>
      <c r="O4" s="1"/>
      <c r="P4" s="1"/>
    </row>
    <row r="5" spans="1:16" ht="15" customHeight="1">
      <c r="A5" s="27"/>
      <c r="B5" s="28"/>
      <c r="C5" s="28"/>
      <c r="D5" s="28"/>
      <c r="E5" s="28"/>
      <c r="F5" s="28"/>
      <c r="G5" s="28"/>
      <c r="H5" s="29"/>
      <c r="I5" s="1" t="s">
        <v>140</v>
      </c>
      <c r="J5" s="1"/>
      <c r="K5" s="1"/>
      <c r="L5" s="1"/>
      <c r="M5" s="1"/>
      <c r="N5" s="1"/>
      <c r="O5" s="1"/>
      <c r="P5" s="1"/>
    </row>
    <row r="6" spans="1:16" ht="15" customHeight="1">
      <c r="A6" s="27"/>
      <c r="B6" s="28"/>
      <c r="C6" s="28"/>
      <c r="D6" s="28"/>
      <c r="E6" s="28"/>
      <c r="F6" s="28"/>
      <c r="G6" s="28"/>
      <c r="H6" s="29"/>
      <c r="I6" s="66" t="s">
        <v>137</v>
      </c>
      <c r="J6" s="1"/>
      <c r="K6" s="1"/>
      <c r="L6" s="1"/>
      <c r="M6" s="1"/>
      <c r="N6" s="1"/>
      <c r="O6" s="1"/>
      <c r="P6" s="1"/>
    </row>
    <row r="7" spans="1:16" ht="15" customHeight="1">
      <c r="A7" s="27"/>
      <c r="B7" s="28"/>
      <c r="C7" s="28"/>
      <c r="D7" s="28"/>
      <c r="E7" s="28"/>
      <c r="F7" s="28"/>
      <c r="G7" s="28"/>
      <c r="H7" s="29"/>
      <c r="I7" s="1" t="s">
        <v>141</v>
      </c>
      <c r="J7" s="1"/>
      <c r="K7" s="1"/>
      <c r="L7" s="1"/>
      <c r="M7" s="1"/>
      <c r="N7" s="1"/>
      <c r="O7" s="1"/>
      <c r="P7" s="1"/>
    </row>
    <row r="8" spans="1:16" ht="15" customHeight="1">
      <c r="A8" s="27"/>
      <c r="B8" s="28"/>
      <c r="C8" s="28"/>
      <c r="D8" s="28"/>
      <c r="E8" s="28"/>
      <c r="F8" s="28"/>
      <c r="G8" s="28"/>
      <c r="H8" s="29"/>
      <c r="I8" s="1" t="s">
        <v>142</v>
      </c>
      <c r="J8" s="1"/>
      <c r="K8" s="1"/>
      <c r="L8" s="1"/>
      <c r="M8" s="1"/>
      <c r="N8" s="1"/>
      <c r="O8" s="1"/>
      <c r="P8" s="1"/>
    </row>
    <row r="9" spans="1:16" ht="15" customHeight="1">
      <c r="A9" s="27"/>
      <c r="B9" s="28"/>
      <c r="C9" s="28"/>
      <c r="D9" s="28"/>
      <c r="E9" s="28"/>
      <c r="F9" s="28"/>
      <c r="G9" s="28"/>
      <c r="H9" s="29"/>
      <c r="I9" s="1" t="s">
        <v>143</v>
      </c>
      <c r="J9" s="1"/>
      <c r="K9" s="1"/>
      <c r="L9" s="1"/>
      <c r="M9" s="1"/>
      <c r="N9" s="1"/>
      <c r="O9" s="1"/>
      <c r="P9" s="1"/>
    </row>
    <row r="10" spans="1:16" ht="15" customHeight="1">
      <c r="A10" s="27"/>
      <c r="B10" s="28"/>
      <c r="C10" s="28"/>
      <c r="D10" s="28"/>
      <c r="E10" s="28"/>
      <c r="F10" s="28"/>
      <c r="G10" s="28"/>
      <c r="H10" s="29"/>
      <c r="I10" s="1" t="s">
        <v>144</v>
      </c>
      <c r="J10" s="1"/>
      <c r="K10" s="1"/>
      <c r="L10" s="1"/>
      <c r="M10" s="1"/>
      <c r="N10" s="1"/>
      <c r="O10" s="1"/>
      <c r="P10" s="1"/>
    </row>
    <row r="11" spans="1:16" ht="15" customHeight="1">
      <c r="A11" s="27"/>
      <c r="B11" s="28"/>
      <c r="C11" s="28"/>
      <c r="D11" s="28"/>
      <c r="E11" s="28"/>
      <c r="F11" s="28"/>
      <c r="G11" s="28"/>
      <c r="H11" s="29"/>
      <c r="I11" s="1" t="s">
        <v>145</v>
      </c>
      <c r="J11" s="1"/>
      <c r="K11" s="1"/>
      <c r="L11" s="1"/>
      <c r="M11" s="1"/>
      <c r="N11" s="1"/>
      <c r="O11" s="1"/>
      <c r="P11" s="1"/>
    </row>
    <row r="12" spans="1:16" ht="15" customHeight="1">
      <c r="A12" s="27"/>
      <c r="B12" s="28"/>
      <c r="C12" s="28"/>
      <c r="D12" s="28"/>
      <c r="E12" s="28"/>
      <c r="F12" s="28"/>
      <c r="G12" s="28"/>
      <c r="H12" s="29"/>
      <c r="I12" s="1" t="s">
        <v>147</v>
      </c>
      <c r="J12" s="1"/>
      <c r="K12" s="1"/>
      <c r="L12" s="1"/>
      <c r="M12" s="1"/>
      <c r="N12" s="1"/>
      <c r="O12" s="1"/>
      <c r="P12" s="1"/>
    </row>
    <row r="13" spans="1:16" ht="15" customHeight="1">
      <c r="A13" s="27"/>
      <c r="B13" s="28"/>
      <c r="C13" s="28"/>
      <c r="D13" s="28"/>
      <c r="E13" s="28"/>
      <c r="F13" s="28"/>
      <c r="G13" s="28"/>
      <c r="H13" s="29"/>
      <c r="I13" s="1" t="s">
        <v>146</v>
      </c>
      <c r="J13" s="1"/>
      <c r="K13" s="1"/>
      <c r="L13" s="1"/>
      <c r="M13" s="1"/>
      <c r="N13" s="1"/>
      <c r="O13" s="1"/>
      <c r="P13" s="1"/>
    </row>
    <row r="14" spans="1:16" ht="15" customHeight="1">
      <c r="A14" s="27"/>
      <c r="B14" s="28"/>
      <c r="C14" s="28"/>
      <c r="D14" s="28"/>
      <c r="E14" s="28"/>
      <c r="F14" s="28"/>
      <c r="G14" s="28"/>
      <c r="H14" s="29"/>
      <c r="I14" s="115" t="s">
        <v>218</v>
      </c>
      <c r="J14" s="1"/>
      <c r="K14" s="1"/>
      <c r="L14" s="1"/>
      <c r="M14" s="1"/>
      <c r="N14" s="1"/>
      <c r="O14" s="1"/>
      <c r="P14" s="1"/>
    </row>
    <row r="15" spans="1:16" ht="15" customHeight="1">
      <c r="A15" s="27"/>
      <c r="B15" s="28"/>
      <c r="C15" s="28"/>
      <c r="D15" s="28"/>
      <c r="E15" s="28"/>
      <c r="F15" s="28"/>
      <c r="G15" s="28"/>
      <c r="H15" s="29"/>
      <c r="I15" s="114" t="s">
        <v>219</v>
      </c>
      <c r="J15" s="1"/>
      <c r="K15" s="1"/>
      <c r="L15" s="1"/>
      <c r="M15" s="1"/>
      <c r="N15" s="1"/>
      <c r="O15" s="1"/>
      <c r="P15" s="1"/>
    </row>
    <row r="16" spans="1:16" ht="15" customHeight="1">
      <c r="A16" s="13" t="s">
        <v>92</v>
      </c>
      <c r="B16" s="12" t="s">
        <v>99</v>
      </c>
      <c r="C16" s="12" t="s">
        <v>162</v>
      </c>
      <c r="D16" s="2" t="s">
        <v>130</v>
      </c>
      <c r="E16" s="18">
        <v>500</v>
      </c>
      <c r="F16" s="18">
        <v>4000</v>
      </c>
      <c r="G16" s="84" t="s">
        <v>217</v>
      </c>
      <c r="H16" s="85"/>
      <c r="I16" s="116" t="s">
        <v>220</v>
      </c>
      <c r="J16" s="1"/>
      <c r="K16" s="1"/>
      <c r="L16" s="1"/>
      <c r="M16" s="1"/>
      <c r="N16" s="1"/>
      <c r="O16" s="1"/>
      <c r="P16" s="1"/>
    </row>
    <row r="17" spans="1:16" ht="15" customHeight="1">
      <c r="A17" s="39" t="s">
        <v>93</v>
      </c>
      <c r="B17" s="41" t="s">
        <v>156</v>
      </c>
      <c r="C17" s="40">
        <v>2</v>
      </c>
      <c r="D17" s="100" t="s">
        <v>157</v>
      </c>
      <c r="E17" s="101"/>
      <c r="F17" s="69"/>
      <c r="G17" s="43" t="s">
        <v>113</v>
      </c>
      <c r="H17" s="44"/>
      <c r="I17" s="114" t="s">
        <v>221</v>
      </c>
      <c r="J17" s="1"/>
      <c r="K17" s="1"/>
      <c r="L17" s="1"/>
      <c r="M17" s="1"/>
      <c r="N17" s="1"/>
      <c r="O17" s="1"/>
      <c r="P17" s="1"/>
    </row>
    <row r="18" spans="1:16" ht="15" customHeight="1">
      <c r="A18" s="93" t="s">
        <v>94</v>
      </c>
      <c r="B18" s="12" t="s">
        <v>101</v>
      </c>
      <c r="C18" s="13" t="s">
        <v>170</v>
      </c>
      <c r="D18" s="2" t="s">
        <v>131</v>
      </c>
      <c r="E18" s="3">
        <f>IF($C$17=1,$H$21*10^3/(2*PI()*E$16)*2^0.5*1.315,$H$21*10^3/(2*PI()*E$16)*2^0.5)</f>
        <v>2.7009489484713187</v>
      </c>
      <c r="F18" s="3">
        <f>IF($C$17=1,$H$21*10^3/(2*PI()*E$16)*2^0.5*0.784,$H$21*10^3/(2*PI()*E$16)*2^0.5*1.004)</f>
        <v>2.711752744265204</v>
      </c>
      <c r="G18" s="3">
        <f>IF($C$17=1,$H$21*10^3/(2*PI()*F$16)*2^0.5*1.466,$H$21*10^3/(2*PI()*F$16)*2^0.5*1.138)</f>
        <v>0.38420998792004507</v>
      </c>
      <c r="H18" s="3">
        <f>IF($C$17=1,$H$21*10^3/(2*PI()*F$16)*2^0.5*0.76,$H$21*10^3/(2*PI()*F$16)*2^0.5)</f>
        <v>0.33761861855891484</v>
      </c>
      <c r="I18" s="114" t="s">
        <v>222</v>
      </c>
      <c r="J18" s="1"/>
      <c r="K18" s="1"/>
      <c r="L18" s="1"/>
      <c r="M18" s="1"/>
      <c r="N18" s="1"/>
      <c r="O18" s="1"/>
      <c r="P18" s="1"/>
    </row>
    <row r="19" spans="1:16" ht="15" customHeight="1">
      <c r="A19" s="94"/>
      <c r="B19" s="12" t="s">
        <v>102</v>
      </c>
      <c r="C19" s="13" t="s">
        <v>171</v>
      </c>
      <c r="D19" s="67" t="s">
        <v>132</v>
      </c>
      <c r="E19" s="3">
        <f>IF($C$17=1,10^6/(2*PI()*E$16*$H$21)/2^0.5*1.315,10^6/(2*PI()*E$16*$H$21)/2^0.5)</f>
        <v>37.51317983987942</v>
      </c>
      <c r="F19" s="3">
        <f>IF($C$17=1,10^6/(2*PI()*E$16*$H$21)/2^0.5*0.784,10^6/(2*PI()*E$16*$H$21)/2^0.5*1.004)</f>
        <v>37.663232559238935</v>
      </c>
      <c r="G19" s="3">
        <f>IF($C$17=1,10^6/(2*PI()*F$16*$H$21)/2^0.5*1.466,10^6/(2*PI()*F$16*$H$21)/2^0.5*1.138)</f>
        <v>5.336249832222847</v>
      </c>
      <c r="H19" s="3">
        <f>IF($C$17=1,10^6/(2*PI()*F$16*$H$21)/2^0.5*0.76,10^6/(2*PI()*F$16*$H$21)/2^0.5)</f>
        <v>4.6891474799849275</v>
      </c>
      <c r="I19" s="114" t="s">
        <v>223</v>
      </c>
      <c r="J19" s="1"/>
      <c r="K19" s="1"/>
      <c r="L19" s="1"/>
      <c r="M19" s="1"/>
      <c r="N19" s="1"/>
      <c r="O19" s="1"/>
      <c r="P19" s="1"/>
    </row>
    <row r="20" spans="1:16" ht="12" customHeight="1">
      <c r="A20" s="33" t="s">
        <v>95</v>
      </c>
      <c r="B20" s="91" t="s">
        <v>103</v>
      </c>
      <c r="C20" s="92"/>
      <c r="D20" s="33" t="s">
        <v>111</v>
      </c>
      <c r="E20" s="2" t="s">
        <v>148</v>
      </c>
      <c r="F20" s="2" t="s">
        <v>151</v>
      </c>
      <c r="G20" s="2" t="s">
        <v>155</v>
      </c>
      <c r="H20" s="2" t="s">
        <v>152</v>
      </c>
      <c r="I20" s="114" t="s">
        <v>224</v>
      </c>
      <c r="J20" s="1"/>
      <c r="K20" s="1"/>
      <c r="L20" s="1"/>
      <c r="M20" s="1"/>
      <c r="N20" s="1"/>
      <c r="O20" s="1"/>
      <c r="P20" s="1"/>
    </row>
    <row r="21" spans="1:16" ht="12" customHeight="1">
      <c r="A21" s="13" t="s">
        <v>96</v>
      </c>
      <c r="B21" s="16" t="s">
        <v>182</v>
      </c>
      <c r="C21" s="17" t="s">
        <v>75</v>
      </c>
      <c r="D21" s="2" t="s">
        <v>127</v>
      </c>
      <c r="E21" s="46">
        <v>6</v>
      </c>
      <c r="F21" s="46">
        <v>6</v>
      </c>
      <c r="G21" s="46">
        <v>6</v>
      </c>
      <c r="H21" s="19">
        <v>6</v>
      </c>
      <c r="I21" s="114" t="s">
        <v>225</v>
      </c>
      <c r="J21" s="1"/>
      <c r="K21" s="1"/>
      <c r="L21" s="1"/>
      <c r="M21" s="1"/>
      <c r="N21" s="1"/>
      <c r="O21" s="1"/>
      <c r="P21" s="1"/>
    </row>
    <row r="22" spans="1:16" ht="12" customHeight="1">
      <c r="A22" s="12" t="s">
        <v>97</v>
      </c>
      <c r="B22" s="16" t="s">
        <v>182</v>
      </c>
      <c r="C22" s="13" t="s">
        <v>86</v>
      </c>
      <c r="D22" s="2" t="s">
        <v>133</v>
      </c>
      <c r="E22" s="46">
        <v>91</v>
      </c>
      <c r="F22" s="46">
        <v>91</v>
      </c>
      <c r="G22" s="46">
        <v>91</v>
      </c>
      <c r="H22" s="8">
        <v>91</v>
      </c>
      <c r="I22" s="1"/>
      <c r="J22" s="1"/>
      <c r="K22" s="1"/>
      <c r="L22" s="1"/>
      <c r="M22" s="1"/>
      <c r="N22" s="1"/>
      <c r="O22" s="1"/>
      <c r="P22" s="1"/>
    </row>
    <row r="23" spans="1:16" ht="12" customHeight="1">
      <c r="A23" s="95" t="s">
        <v>98</v>
      </c>
      <c r="B23" s="12" t="s">
        <v>107</v>
      </c>
      <c r="C23" s="13" t="s">
        <v>87</v>
      </c>
      <c r="D23" s="2" t="s">
        <v>134</v>
      </c>
      <c r="E23" s="8">
        <v>6</v>
      </c>
      <c r="F23" s="8">
        <v>6</v>
      </c>
      <c r="G23" s="8">
        <v>6</v>
      </c>
      <c r="H23" s="23"/>
      <c r="I23" s="1"/>
      <c r="J23" s="1"/>
      <c r="K23" s="1"/>
      <c r="L23" s="1"/>
      <c r="M23" s="1"/>
      <c r="N23" s="1"/>
      <c r="O23" s="1"/>
      <c r="P23" s="1"/>
    </row>
    <row r="24" spans="1:16" ht="12" customHeight="1">
      <c r="A24" s="96"/>
      <c r="B24" s="12" t="s">
        <v>104</v>
      </c>
      <c r="C24" s="13" t="s">
        <v>85</v>
      </c>
      <c r="D24" s="2" t="s">
        <v>133</v>
      </c>
      <c r="E24" s="8">
        <v>91</v>
      </c>
      <c r="F24" s="8">
        <v>91</v>
      </c>
      <c r="G24" s="8">
        <v>91</v>
      </c>
      <c r="H24" s="14"/>
      <c r="I24" s="1"/>
      <c r="J24" s="1"/>
      <c r="K24" s="1"/>
      <c r="L24" s="1"/>
      <c r="M24" s="1"/>
      <c r="N24" s="1"/>
      <c r="O24" s="1"/>
      <c r="P24" s="1"/>
    </row>
    <row r="25" spans="1:16" ht="12" customHeight="1">
      <c r="A25" s="96"/>
      <c r="B25" s="12" t="s">
        <v>105</v>
      </c>
      <c r="C25" s="13" t="s">
        <v>12</v>
      </c>
      <c r="D25" s="2"/>
      <c r="E25" s="9">
        <v>1</v>
      </c>
      <c r="F25" s="9">
        <v>1</v>
      </c>
      <c r="G25" s="9">
        <v>1</v>
      </c>
      <c r="H25" s="14"/>
      <c r="I25" s="1"/>
      <c r="J25" s="1"/>
      <c r="K25" s="1"/>
      <c r="L25" s="1"/>
      <c r="M25" s="1"/>
      <c r="N25" s="1"/>
      <c r="O25" s="1"/>
      <c r="P25" s="1"/>
    </row>
    <row r="26" spans="1:16" ht="12" customHeight="1">
      <c r="A26" s="96"/>
      <c r="B26" s="12" t="s">
        <v>106</v>
      </c>
      <c r="C26" s="13" t="s">
        <v>153</v>
      </c>
      <c r="D26" s="2" t="s">
        <v>134</v>
      </c>
      <c r="E26" s="14" t="str">
        <f>IF(E$21*E$22*E$23*E$24=0,"",IF(E$25=0,"",IF(E$22&gt;E$24+10*LOG(E$21/E$23),"Unable",IF(E$23/(10^((E$22-E$24-10*LOG(E$21/E$23))/20))-E$21=0,"Blank",IF(E$25=0,"",E$21*E$23/ABS(E$23/(10^((E$22-E$24-10*LOG(E$21/E$23))/20))-E$21))))))</f>
        <v>Blank</v>
      </c>
      <c r="F26" s="14" t="str">
        <f>IF(F$21*F$22*F$23*F$24=0,"",IF(F$25=0,"",IF(F$22&gt;F$24+10*LOG(F$21/F$23),"Unable",IF(F$23/(10^((F$22-F$24-10*LOG(F$21/F$23))/20))-F$21=0,"Blank",IF(F$25=0,"",F$21*F$23/ABS(F$23/(10^((F$22-F$24-10*LOG(F$21/F$23))/20))-F$21))))))</f>
        <v>Blank</v>
      </c>
      <c r="G26" s="14" t="str">
        <f>IF(G$21*G$22*G$23*G$24=0,"",IF(G$25=0,"",IF(G$22&gt;G$24+10*LOG(G$21/G$23),"Unable",IF(G$23/(10^((G$22-G$24-10*LOG(G$21/G$23))/20))-G$21=0,"Blank",IF(G$25=0,"",G$21*G$23/ABS(G$23/(10^((G$22-G$24-10*LOG(G$21/G$23))/20))-G$21))))))</f>
        <v>Blank</v>
      </c>
      <c r="H26" s="23"/>
      <c r="I26" s="1"/>
      <c r="J26" s="1"/>
      <c r="K26" s="1"/>
      <c r="L26" s="1"/>
      <c r="M26" s="1"/>
      <c r="N26" s="1"/>
      <c r="O26" s="1"/>
      <c r="P26" s="1"/>
    </row>
    <row r="27" spans="1:16" ht="12" customHeight="1">
      <c r="A27" s="96"/>
      <c r="B27" s="12" t="s">
        <v>108</v>
      </c>
      <c r="C27" s="13" t="s">
        <v>154</v>
      </c>
      <c r="D27" s="2" t="s">
        <v>134</v>
      </c>
      <c r="E27" s="14">
        <f>IF(E$21*E$22*E$23*E$24=0,"",IF(E$25=0,"",IF(E$24+E$30&lt;E$22,"Unable",IF(E$26="Unable","Unable",IF(E$26="Blank",E$21-E$23,E$21-E$26*E$23/(E$26+E$23))))))</f>
        <v>0</v>
      </c>
      <c r="F27" s="14">
        <f>IF(F$21*F$22*F$23*F$24=0,"",IF(F$25=0,"",IF(F$24+F$30&lt;F$22,"Unable",IF(F$26="Unable","Unable",IF(F$26="Blank",F$21-F$23,F$21-F$26*F$23/(F$26+F$23))))))</f>
        <v>0</v>
      </c>
      <c r="G27" s="14">
        <f>IF(G$21*G$22*G$23*G$24=0,"",IF(G$25=0,"",IF(G$24+G$30&lt;G$22,"Unable",IF(G$26="Unable","Unable",IF(G$26="Blank",G$21-G$23,G$21-G$26*G$23/(G$26+G$23))))))</f>
        <v>0</v>
      </c>
      <c r="H27" s="14"/>
      <c r="I27" s="1"/>
      <c r="J27" s="1"/>
      <c r="K27" s="1"/>
      <c r="L27" s="1"/>
      <c r="M27" s="1"/>
      <c r="N27" s="1"/>
      <c r="O27" s="1"/>
      <c r="P27" s="1"/>
    </row>
    <row r="28" spans="1:16" ht="12" customHeight="1">
      <c r="A28" s="96"/>
      <c r="B28" s="12" t="s">
        <v>109</v>
      </c>
      <c r="C28" s="22" t="s">
        <v>76</v>
      </c>
      <c r="D28" s="2" t="s">
        <v>134</v>
      </c>
      <c r="E28" s="23">
        <f>IF(E$21*E$22*E$23*E$24=0,"",IF(E$25=1,E$21,E$23))</f>
        <v>6</v>
      </c>
      <c r="F28" s="23">
        <f>IF(F$21*F$22*F$23*F$24=0,"",IF(F$25=1,F$21,F$23))</f>
        <v>6</v>
      </c>
      <c r="G28" s="23">
        <f>IF(G$21*G$22*G$23*G$24=0,"",IF(G$25=1,G$21,G$23))</f>
        <v>6</v>
      </c>
      <c r="H28" s="14"/>
      <c r="I28" s="1"/>
      <c r="J28" s="1"/>
      <c r="K28" s="1"/>
      <c r="L28" s="1"/>
      <c r="M28" s="1"/>
      <c r="N28" s="1"/>
      <c r="O28" s="1"/>
      <c r="P28" s="1"/>
    </row>
    <row r="29" spans="1:16" ht="12" customHeight="1">
      <c r="A29" s="96"/>
      <c r="B29" s="12" t="s">
        <v>110</v>
      </c>
      <c r="C29" s="13" t="s">
        <v>77</v>
      </c>
      <c r="D29" s="2" t="s">
        <v>112</v>
      </c>
      <c r="E29" s="14">
        <f>IF(E$21*E$22*E$23*E$24=0,"",10^(E$30/20))</f>
        <v>1</v>
      </c>
      <c r="F29" s="14">
        <f>IF(F$21*F$22*F$23*F$24=0,"",10^(F$30/20))</f>
        <v>1</v>
      </c>
      <c r="G29" s="14">
        <f>IF(G$21*G$22*G$23*G$24=0,"",10^(G$30/20))</f>
        <v>1</v>
      </c>
      <c r="H29" s="14"/>
      <c r="I29" s="73" t="s">
        <v>210</v>
      </c>
      <c r="J29" s="74"/>
      <c r="K29" s="74"/>
      <c r="L29" s="75"/>
      <c r="M29" s="76"/>
      <c r="N29" s="1"/>
      <c r="O29" s="1"/>
      <c r="P29" s="1"/>
    </row>
    <row r="30" spans="1:16" ht="12" customHeight="1">
      <c r="A30" s="97"/>
      <c r="B30" s="12" t="s">
        <v>110</v>
      </c>
      <c r="C30" s="13" t="s">
        <v>77</v>
      </c>
      <c r="D30" s="2" t="s">
        <v>125</v>
      </c>
      <c r="E30" s="14">
        <f>IF(E$21*E$22*E$23*E$24=0,"",IF(E$25=1,0,E$24-E$22+10*LOG(E$21/E$23)))</f>
        <v>0</v>
      </c>
      <c r="F30" s="14">
        <f>IF(F$21*F$22*F$23*F$24=0,"",IF(F$25=1,0,F$24-F$22+10*LOG(F$21/F$23)))</f>
        <v>0</v>
      </c>
      <c r="G30" s="14">
        <f>IF(G$21*G$22*G$23*G$24=0,"",IF(G$25=1,0,G$24-G$22+10*LOG(G$21/G$23)))</f>
        <v>0</v>
      </c>
      <c r="H30" s="14"/>
      <c r="I30" s="2" t="s">
        <v>211</v>
      </c>
      <c r="J30" s="2" t="s">
        <v>212</v>
      </c>
      <c r="K30" s="2" t="s">
        <v>213</v>
      </c>
      <c r="L30" s="2" t="s">
        <v>214</v>
      </c>
      <c r="M30" s="77"/>
      <c r="N30" s="1"/>
      <c r="O30" s="1"/>
      <c r="P30" s="1"/>
    </row>
    <row r="31" spans="1:13" ht="12" customHeight="1">
      <c r="A31" s="81" t="s">
        <v>114</v>
      </c>
      <c r="B31" s="4">
        <v>20</v>
      </c>
      <c r="C31" s="5" t="s">
        <v>130</v>
      </c>
      <c r="D31" s="68" t="s">
        <v>129</v>
      </c>
      <c r="E31" s="3">
        <f>6/(H141^2+H163^2)^0.5/$H$21</f>
        <v>5.999959804591382</v>
      </c>
      <c r="F31" s="3"/>
      <c r="G31" s="58" t="s">
        <v>161</v>
      </c>
      <c r="H31" s="3">
        <f>10*LOG((10^((IF($H$17=0,0,E185)+E$22-H$22+E$30+20*LOG(E119*E$28/((E97^2*E119^2+E$28^2*(E97-E119)^2)^0.5)))/20))^2+(10^((IF($H$17=0,0,F185)+F$22-H$22+F$30+20*LOG((G119*F$28/(G97^2*G119^2+F$28^2*(G97-G119)^2)^0.5)*(F97/(F97^2*F119^2*F141^2+(F97-F119+F97*F119*F163)^2)^0.5)))/20))^2+(10^((IF($H$17=0,0,G185)+G$22-H$22+G$30+20*LOG((H97*G$28/(H97^2*H119^2+G$28^2*(H97-H119)^2)^0.5)))/20))^2)+$L31</f>
        <v>1.7651703595956407E-07</v>
      </c>
      <c r="I31" s="71"/>
      <c r="J31" s="71"/>
      <c r="K31" s="71"/>
      <c r="L31" s="72">
        <v>0</v>
      </c>
      <c r="M31" s="78" t="s">
        <v>215</v>
      </c>
    </row>
    <row r="32" spans="1:13" ht="12" customHeight="1">
      <c r="A32" s="86"/>
      <c r="B32" s="4">
        <v>30</v>
      </c>
      <c r="C32" s="5" t="s">
        <v>130</v>
      </c>
      <c r="D32" s="68" t="s">
        <v>129</v>
      </c>
      <c r="E32" s="3">
        <f aca="true" t="shared" si="0" ref="E32:E52">6/(H142^2+H164^2)^0.5/$H$21</f>
        <v>5.999908883830887</v>
      </c>
      <c r="F32" s="3"/>
      <c r="G32" s="3">
        <f>IF(ABS($H76-$H75)&gt;180,ABS(360-ABS($H76-$H75))/($B98-$B97),ABS($H76-$H75)/($B98-$B97))*10</f>
        <v>1.6266315766350714</v>
      </c>
      <c r="H32" s="3">
        <f aca="true" t="shared" si="1" ref="H32:H52">10*LOG((10^((IF($H$17=0,0,E186)+E$22-H$22+E$30+20*LOG(E120*E$28/((E98^2*E120^2+E$28^2*(E98-E120)^2)^0.5)))/20))^2+(10^((IF($H$17=0,0,F186)+F$22-H$22+F$30+20*LOG((G120*F$28/(G98^2*G120^2+F$28^2*(G98-G120)^2)^0.5)*(F98/(F98^2*F120^2*F142^2+(F98-F120+F98*F120*F164)^2)^0.5)))/20))^2+(10^((IF($H$17=0,0,G186)+G$22-H$22+G$30+20*LOG((H98*G$28/(H98^2*H120^2+G$28^2*(H98-H120)^2)^0.5)))/20))^2)+$L32</f>
        <v>8.611319921163116E-07</v>
      </c>
      <c r="I32" s="71"/>
      <c r="J32" s="71"/>
      <c r="K32" s="71"/>
      <c r="L32" s="72">
        <v>0</v>
      </c>
      <c r="M32" s="79"/>
    </row>
    <row r="33" spans="1:13" ht="12" customHeight="1">
      <c r="A33" s="86"/>
      <c r="B33" s="4">
        <v>40</v>
      </c>
      <c r="C33" s="5" t="s">
        <v>130</v>
      </c>
      <c r="D33" s="68" t="s">
        <v>129</v>
      </c>
      <c r="E33" s="3">
        <f t="shared" si="0"/>
        <v>5.999836485176918</v>
      </c>
      <c r="F33" s="3"/>
      <c r="G33" s="3">
        <f aca="true" t="shared" si="2" ref="G33:G52">IF(ABS($H77-$H76)&gt;180,ABS(360-ABS($H77-$H76))/($B99-$B98),ABS($H77-$H76)/($B99-$B98))*10</f>
        <v>1.6323239819791304</v>
      </c>
      <c r="H33" s="3">
        <f t="shared" si="1"/>
        <v>2.578630831965412E-06</v>
      </c>
      <c r="I33" s="71"/>
      <c r="J33" s="71"/>
      <c r="K33" s="71"/>
      <c r="L33" s="72">
        <v>0</v>
      </c>
      <c r="M33" s="79"/>
    </row>
    <row r="34" spans="1:13" ht="12" customHeight="1">
      <c r="A34" s="86"/>
      <c r="B34" s="4">
        <v>50</v>
      </c>
      <c r="C34" s="5" t="s">
        <v>130</v>
      </c>
      <c r="D34" s="68" t="s">
        <v>129</v>
      </c>
      <c r="E34" s="3">
        <f t="shared" si="0"/>
        <v>5.999741839531535</v>
      </c>
      <c r="F34" s="3"/>
      <c r="G34" s="3">
        <f t="shared" si="2"/>
        <v>1.639839250287153</v>
      </c>
      <c r="H34" s="3">
        <f t="shared" si="1"/>
        <v>5.8499488373489205E-06</v>
      </c>
      <c r="I34" s="71"/>
      <c r="J34" s="71"/>
      <c r="K34" s="71"/>
      <c r="L34" s="72">
        <v>0</v>
      </c>
      <c r="M34" s="79"/>
    </row>
    <row r="35" spans="1:13" ht="12" customHeight="1">
      <c r="A35" s="86"/>
      <c r="B35" s="4">
        <v>70</v>
      </c>
      <c r="C35" s="5" t="s">
        <v>130</v>
      </c>
      <c r="D35" s="68" t="s">
        <v>129</v>
      </c>
      <c r="E35" s="3">
        <f t="shared" si="0"/>
        <v>5.999484347523638</v>
      </c>
      <c r="F35" s="3"/>
      <c r="G35" s="3">
        <f t="shared" si="2"/>
        <v>1.6545924468773148</v>
      </c>
      <c r="H35" s="3">
        <f t="shared" si="1"/>
        <v>1.7978861430605633E-05</v>
      </c>
      <c r="I35" s="71"/>
      <c r="J35" s="71"/>
      <c r="K35" s="71"/>
      <c r="L35" s="72">
        <v>0</v>
      </c>
      <c r="M35" s="79"/>
    </row>
    <row r="36" spans="1:13" ht="12" customHeight="1">
      <c r="A36" s="86"/>
      <c r="B36" s="4">
        <v>100</v>
      </c>
      <c r="C36" s="5" t="s">
        <v>130</v>
      </c>
      <c r="D36" s="68" t="s">
        <v>129</v>
      </c>
      <c r="E36" s="3">
        <f t="shared" si="0"/>
        <v>5.998946142911829</v>
      </c>
      <c r="F36" s="3"/>
      <c r="G36" s="3">
        <f t="shared" si="2"/>
        <v>1.6871007228969432</v>
      </c>
      <c r="H36" s="3">
        <f t="shared" si="1"/>
        <v>3.656347366185501E-05</v>
      </c>
      <c r="I36" s="71"/>
      <c r="J36" s="71"/>
      <c r="K36" s="71"/>
      <c r="L36" s="72">
        <v>0</v>
      </c>
      <c r="M36" s="79"/>
    </row>
    <row r="37" spans="1:13" ht="12" customHeight="1">
      <c r="A37" s="86"/>
      <c r="B37" s="4">
        <v>150</v>
      </c>
      <c r="C37" s="5" t="s">
        <v>130</v>
      </c>
      <c r="D37" s="68" t="s">
        <v>129</v>
      </c>
      <c r="E37" s="3">
        <f t="shared" si="0"/>
        <v>5.998080661253655</v>
      </c>
      <c r="F37" s="3"/>
      <c r="G37" s="3">
        <f t="shared" si="2"/>
        <v>1.7558260856163295</v>
      </c>
      <c r="H37" s="3">
        <f t="shared" si="1"/>
        <v>-0.0002447047873947727</v>
      </c>
      <c r="I37" s="71"/>
      <c r="J37" s="71"/>
      <c r="K37" s="71"/>
      <c r="L37" s="72">
        <v>0</v>
      </c>
      <c r="M37" s="79"/>
    </row>
    <row r="38" spans="1:13" ht="12" customHeight="1">
      <c r="A38" s="82" t="s">
        <v>167</v>
      </c>
      <c r="B38" s="4">
        <v>200</v>
      </c>
      <c r="C38" s="5" t="s">
        <v>130</v>
      </c>
      <c r="D38" s="68" t="s">
        <v>129</v>
      </c>
      <c r="E38" s="3">
        <f t="shared" si="0"/>
        <v>5.999169558585081</v>
      </c>
      <c r="F38" s="3"/>
      <c r="G38" s="3">
        <f t="shared" si="2"/>
        <v>1.8564190456468432</v>
      </c>
      <c r="H38" s="3">
        <f t="shared" si="1"/>
        <v>-0.0023032385998132225</v>
      </c>
      <c r="I38" s="71"/>
      <c r="J38" s="71"/>
      <c r="K38" s="71"/>
      <c r="L38" s="72">
        <v>0</v>
      </c>
      <c r="M38" s="79"/>
    </row>
    <row r="39" spans="1:13" ht="12" customHeight="1">
      <c r="A39" s="86"/>
      <c r="B39" s="4">
        <v>300</v>
      </c>
      <c r="C39" s="5" t="s">
        <v>130</v>
      </c>
      <c r="D39" s="68" t="s">
        <v>129</v>
      </c>
      <c r="E39" s="3">
        <f t="shared" si="0"/>
        <v>6.020160408856019</v>
      </c>
      <c r="F39" s="3"/>
      <c r="G39" s="3">
        <f t="shared" si="2"/>
        <v>1.989017967125168</v>
      </c>
      <c r="H39" s="3">
        <f t="shared" si="1"/>
        <v>-0.0217349117454567</v>
      </c>
      <c r="I39" s="71"/>
      <c r="J39" s="71"/>
      <c r="K39" s="71"/>
      <c r="L39" s="72">
        <v>0</v>
      </c>
      <c r="M39" s="79"/>
    </row>
    <row r="40" spans="1:13" ht="12" customHeight="1">
      <c r="A40" s="86"/>
      <c r="B40" s="4">
        <v>400</v>
      </c>
      <c r="C40" s="5" t="s">
        <v>130</v>
      </c>
      <c r="D40" s="68" t="s">
        <v>129</v>
      </c>
      <c r="E40" s="3">
        <f t="shared" si="0"/>
        <v>6.0423395591933415</v>
      </c>
      <c r="F40" s="3"/>
      <c r="G40" s="3">
        <f t="shared" si="2"/>
        <v>2.0353500066499057</v>
      </c>
      <c r="H40" s="3">
        <f t="shared" si="1"/>
        <v>-0.04894879074274432</v>
      </c>
      <c r="I40" s="71"/>
      <c r="J40" s="71"/>
      <c r="K40" s="71"/>
      <c r="L40" s="72">
        <v>0</v>
      </c>
      <c r="M40" s="79"/>
    </row>
    <row r="41" spans="1:13" ht="12" customHeight="1">
      <c r="A41" s="86"/>
      <c r="B41" s="4">
        <v>500</v>
      </c>
      <c r="C41" s="5" t="s">
        <v>130</v>
      </c>
      <c r="D41" s="68" t="s">
        <v>129</v>
      </c>
      <c r="E41" s="3">
        <f t="shared" si="0"/>
        <v>5.942611832492138</v>
      </c>
      <c r="F41" s="3"/>
      <c r="G41" s="3">
        <f t="shared" si="2"/>
        <v>1.8843416396199344</v>
      </c>
      <c r="H41" s="3">
        <f t="shared" si="1"/>
        <v>-0.0010382366304376306</v>
      </c>
      <c r="I41" s="71"/>
      <c r="J41" s="71"/>
      <c r="K41" s="71"/>
      <c r="L41" s="72">
        <v>0</v>
      </c>
      <c r="M41" s="79"/>
    </row>
    <row r="42" spans="1:13" ht="12" customHeight="1">
      <c r="A42" s="86"/>
      <c r="B42" s="4">
        <v>700</v>
      </c>
      <c r="C42" s="5" t="s">
        <v>130</v>
      </c>
      <c r="D42" s="68" t="s">
        <v>129</v>
      </c>
      <c r="E42" s="3">
        <f t="shared" si="0"/>
        <v>5.397015035943713</v>
      </c>
      <c r="F42" s="3"/>
      <c r="G42" s="3">
        <f t="shared" si="2"/>
        <v>1.4910429483923493</v>
      </c>
      <c r="H42" s="3">
        <f t="shared" si="1"/>
        <v>0.380378472678872</v>
      </c>
      <c r="I42" s="71"/>
      <c r="J42" s="71"/>
      <c r="K42" s="71"/>
      <c r="L42" s="72">
        <v>0</v>
      </c>
      <c r="M42" s="79"/>
    </row>
    <row r="43" spans="1:13" ht="12" customHeight="1">
      <c r="A43" s="86"/>
      <c r="B43" s="4" t="s">
        <v>31</v>
      </c>
      <c r="C43" s="5" t="s">
        <v>130</v>
      </c>
      <c r="D43" s="68" t="s">
        <v>129</v>
      </c>
      <c r="E43" s="3">
        <f t="shared" si="0"/>
        <v>4.812805964879282</v>
      </c>
      <c r="F43" s="3"/>
      <c r="G43" s="3">
        <f t="shared" si="2"/>
        <v>0.9860966289248457</v>
      </c>
      <c r="H43" s="3">
        <f t="shared" si="1"/>
        <v>0.9074080137579793</v>
      </c>
      <c r="I43" s="71"/>
      <c r="J43" s="71"/>
      <c r="K43" s="71"/>
      <c r="L43" s="72">
        <v>0</v>
      </c>
      <c r="M43" s="79"/>
    </row>
    <row r="44" spans="1:13" ht="12" customHeight="1">
      <c r="A44" s="86"/>
      <c r="B44" s="4" t="s">
        <v>32</v>
      </c>
      <c r="C44" s="5" t="s">
        <v>130</v>
      </c>
      <c r="D44" s="68" t="s">
        <v>129</v>
      </c>
      <c r="E44" s="3">
        <f t="shared" si="0"/>
        <v>4.450848445047409</v>
      </c>
      <c r="F44" s="3"/>
      <c r="G44" s="3">
        <f t="shared" si="2"/>
        <v>0.6313129193976283</v>
      </c>
      <c r="H44" s="3">
        <f t="shared" si="1"/>
        <v>1.2924745437729566</v>
      </c>
      <c r="I44" s="71"/>
      <c r="J44" s="71"/>
      <c r="K44" s="71"/>
      <c r="L44" s="72">
        <v>0</v>
      </c>
      <c r="M44" s="79"/>
    </row>
    <row r="45" spans="1:13" ht="12" customHeight="1">
      <c r="A45" s="86"/>
      <c r="B45" s="4" t="s">
        <v>33</v>
      </c>
      <c r="C45" s="5" t="s">
        <v>130</v>
      </c>
      <c r="D45" s="68" t="s">
        <v>129</v>
      </c>
      <c r="E45" s="3">
        <f t="shared" si="0"/>
        <v>4.36761779170023</v>
      </c>
      <c r="F45" s="3"/>
      <c r="G45" s="3">
        <f t="shared" si="2"/>
        <v>0.47200252705747514</v>
      </c>
      <c r="H45" s="3">
        <f t="shared" si="1"/>
        <v>1.3707360255220897</v>
      </c>
      <c r="I45" s="71"/>
      <c r="J45" s="71"/>
      <c r="K45" s="71"/>
      <c r="L45" s="72">
        <v>0</v>
      </c>
      <c r="M45" s="79"/>
    </row>
    <row r="46" spans="1:13" ht="12" customHeight="1">
      <c r="A46" s="82" t="s">
        <v>115</v>
      </c>
      <c r="B46" s="4" t="s">
        <v>34</v>
      </c>
      <c r="C46" s="5" t="s">
        <v>130</v>
      </c>
      <c r="D46" s="68" t="s">
        <v>129</v>
      </c>
      <c r="E46" s="3">
        <f t="shared" si="0"/>
        <v>4.868095892040748</v>
      </c>
      <c r="F46" s="3"/>
      <c r="G46" s="3">
        <f t="shared" si="2"/>
        <v>0.3765290138299455</v>
      </c>
      <c r="H46" s="3">
        <f t="shared" si="1"/>
        <v>0.780308315341523</v>
      </c>
      <c r="I46" s="71"/>
      <c r="J46" s="71"/>
      <c r="K46" s="71"/>
      <c r="L46" s="72">
        <v>0</v>
      </c>
      <c r="M46" s="79"/>
    </row>
    <row r="47" spans="1:13" ht="12" customHeight="1">
      <c r="A47" s="86"/>
      <c r="B47" s="4" t="s">
        <v>35</v>
      </c>
      <c r="C47" s="5" t="s">
        <v>130</v>
      </c>
      <c r="D47" s="68" t="s">
        <v>129</v>
      </c>
      <c r="E47" s="3">
        <f t="shared" si="0"/>
        <v>5.832683017494275</v>
      </c>
      <c r="F47" s="3"/>
      <c r="G47" s="3">
        <f t="shared" si="2"/>
        <v>0.26510361638315716</v>
      </c>
      <c r="H47" s="3">
        <f t="shared" si="1"/>
        <v>-0.00500930645188218</v>
      </c>
      <c r="I47" s="71"/>
      <c r="J47" s="71"/>
      <c r="K47" s="71"/>
      <c r="L47" s="72">
        <v>0</v>
      </c>
      <c r="M47" s="79"/>
    </row>
    <row r="48" spans="1:13" ht="12" customHeight="1">
      <c r="A48" s="86"/>
      <c r="B48" s="4" t="s">
        <v>36</v>
      </c>
      <c r="C48" s="5" t="s">
        <v>130</v>
      </c>
      <c r="D48" s="68" t="s">
        <v>129</v>
      </c>
      <c r="E48" s="3">
        <f t="shared" si="0"/>
        <v>6.255909398847149</v>
      </c>
      <c r="F48" s="3"/>
      <c r="G48" s="3">
        <f t="shared" si="2"/>
        <v>0.17653933126537963</v>
      </c>
      <c r="H48" s="3">
        <f t="shared" si="1"/>
        <v>-0.22993548454947718</v>
      </c>
      <c r="I48" s="71"/>
      <c r="J48" s="71"/>
      <c r="K48" s="71"/>
      <c r="L48" s="72">
        <v>0</v>
      </c>
      <c r="M48" s="79"/>
    </row>
    <row r="49" spans="1:13" ht="12" customHeight="1">
      <c r="A49" s="86"/>
      <c r="B49" s="4" t="s">
        <v>37</v>
      </c>
      <c r="C49" s="5" t="s">
        <v>130</v>
      </c>
      <c r="D49" s="68" t="s">
        <v>129</v>
      </c>
      <c r="E49" s="3">
        <f t="shared" si="0"/>
        <v>6.177877353666951</v>
      </c>
      <c r="F49" s="3"/>
      <c r="G49" s="3">
        <f t="shared" si="2"/>
        <v>0.10466872529990554</v>
      </c>
      <c r="H49" s="3">
        <f t="shared" si="1"/>
        <v>-0.1344969823062705</v>
      </c>
      <c r="I49" s="71"/>
      <c r="J49" s="71"/>
      <c r="K49" s="71"/>
      <c r="L49" s="72">
        <v>0</v>
      </c>
      <c r="M49" s="79"/>
    </row>
    <row r="50" spans="1:13" ht="12" customHeight="1">
      <c r="A50" s="86"/>
      <c r="B50" s="4" t="s">
        <v>38</v>
      </c>
      <c r="C50" s="5" t="s">
        <v>130</v>
      </c>
      <c r="D50" s="68" t="s">
        <v>129</v>
      </c>
      <c r="E50" s="3">
        <f t="shared" si="0"/>
        <v>6.0526636809108005</v>
      </c>
      <c r="F50" s="3"/>
      <c r="G50" s="3">
        <f t="shared" si="2"/>
        <v>0.051617662606810985</v>
      </c>
      <c r="H50" s="3">
        <f t="shared" si="1"/>
        <v>-0.040319509392734584</v>
      </c>
      <c r="I50" s="71"/>
      <c r="J50" s="71"/>
      <c r="K50" s="71"/>
      <c r="L50" s="72">
        <v>0</v>
      </c>
      <c r="M50" s="79"/>
    </row>
    <row r="51" spans="1:13" ht="12" customHeight="1">
      <c r="A51" s="86"/>
      <c r="B51" s="4" t="s">
        <v>39</v>
      </c>
      <c r="C51" s="5" t="s">
        <v>130</v>
      </c>
      <c r="D51" s="68" t="s">
        <v>129</v>
      </c>
      <c r="E51" s="3">
        <f t="shared" si="0"/>
        <v>6.010335893874275</v>
      </c>
      <c r="F51" s="3"/>
      <c r="G51" s="3">
        <f t="shared" si="2"/>
        <v>0.023123046068232227</v>
      </c>
      <c r="H51" s="3">
        <f t="shared" si="1"/>
        <v>-0.008552929116631821</v>
      </c>
      <c r="I51" s="71"/>
      <c r="J51" s="71"/>
      <c r="K51" s="71"/>
      <c r="L51" s="72">
        <v>0</v>
      </c>
      <c r="M51" s="79"/>
    </row>
    <row r="52" spans="1:13" ht="12" customHeight="1">
      <c r="A52" s="87"/>
      <c r="B52" s="4" t="s">
        <v>40</v>
      </c>
      <c r="C52" s="5" t="s">
        <v>130</v>
      </c>
      <c r="D52" s="68" t="s">
        <v>129</v>
      </c>
      <c r="E52" s="3">
        <f t="shared" si="0"/>
        <v>6.002918981066139</v>
      </c>
      <c r="F52" s="3"/>
      <c r="G52" s="3">
        <f t="shared" si="2"/>
        <v>0.011215205449941926</v>
      </c>
      <c r="H52" s="3">
        <f t="shared" si="1"/>
        <v>-0.002754779850668572</v>
      </c>
      <c r="I52" s="71"/>
      <c r="J52" s="71"/>
      <c r="K52" s="71"/>
      <c r="L52" s="72">
        <v>0</v>
      </c>
      <c r="M52" s="80"/>
    </row>
    <row r="53" spans="1:13" ht="12" customHeight="1">
      <c r="A53" s="81" t="s">
        <v>116</v>
      </c>
      <c r="B53" s="4">
        <v>20</v>
      </c>
      <c r="C53" s="5" t="s">
        <v>130</v>
      </c>
      <c r="D53" s="2" t="s">
        <v>128</v>
      </c>
      <c r="E53" s="7">
        <f>IF($H$17=0,0,E185)+E$22-$H$22+E$30+20*LOG(E119*E$28/((E97^2*E119^2+E$28^2*(E97-E119)^2)^0.5))+$I53</f>
        <v>-1.1117886941303746E-05</v>
      </c>
      <c r="F53" s="7">
        <f>IF($H$17=0,0,F185)+F$22-$H$22+F$30+20*LOG((G119*F$28/(G97^2*G119^2+F$28^2*(G97-G119)^2)^0.5)*(F97/(F97^2*F119^2*F141^2+(F97-F119+F97*F119*F163)^2)^0.5))+$J53</f>
        <v>-55.85025925452723</v>
      </c>
      <c r="G53" s="7">
        <f>IF($H$17=0,0,G185)+G$22-$H$22+G$30+20*LOG((H97*G$28/(H97^2*H119^2+G$28^2*(H97-H119)^2)^0.5))+$K53</f>
        <v>-92.041214502594</v>
      </c>
      <c r="H53" s="7">
        <f>20*LOG(((10^(E53/20)*COS(3.14159*E75/180)+10^(F53/20)*COS(3.14159*F75/180)+10^(G53/20)*COS(3.14159*G75/180))^2+(10^(E53/20)*SIN(3.14159*E75/180)+10^(F53/20)*SIN(3.14159*F75/180)+10^(G53/20)*SIN(3.14159*G75/180))^2)^0.5)+$L53</f>
        <v>0.013766198051814423</v>
      </c>
      <c r="I53" s="72">
        <v>0</v>
      </c>
      <c r="J53" s="72">
        <v>0</v>
      </c>
      <c r="K53" s="72">
        <v>0</v>
      </c>
      <c r="L53" s="72">
        <v>0</v>
      </c>
      <c r="M53" s="78" t="s">
        <v>216</v>
      </c>
    </row>
    <row r="54" spans="1:13" ht="12" customHeight="1">
      <c r="A54" s="82"/>
      <c r="B54" s="4">
        <v>30</v>
      </c>
      <c r="C54" s="5" t="s">
        <v>130</v>
      </c>
      <c r="D54" s="2" t="s">
        <v>128</v>
      </c>
      <c r="E54" s="7">
        <f aca="true" t="shared" si="3" ref="E54:E74">IF($H$17=0,0,E186)+E$22-$H$22+E$30+20*LOG(E120*E$28/((E98^2*E120^2+E$28^2*(E98-E120)^2)^0.5))+$I54</f>
        <v>-5.6284009970117395E-05</v>
      </c>
      <c r="F54" s="7">
        <f aca="true" t="shared" si="4" ref="F54:F74">IF($H$17=0,0,F186)+F$22-$H$22+F$30+20*LOG((G120*F$28/(G98^2*G120^2+F$28^2*(G98-G120)^2)^0.5)*(F98/(F98^2*F120^2*F142^2+(F98-F120+F98*F120*F164)^2)^0.5))+$J54</f>
        <v>-48.809122115541925</v>
      </c>
      <c r="G54" s="7">
        <f aca="true" t="shared" si="5" ref="G54:G74">IF($H$17=0,0,G186)+G$22-$H$22+G$30+20*LOG((H98*G$28/(H98^2*H120^2+G$28^2*(H98-H120)^2)^0.5))+$K54</f>
        <v>-84.99756415139372</v>
      </c>
      <c r="H54" s="7">
        <f aca="true" t="shared" si="6" ref="H54:H74">20*LOG(((10^(E54/20)*COS(3.14159*E76/180)+10^(F54/20)*COS(3.14159*F76/180)+10^(G54/20)*COS(3.14159*G76/180))^2+(10^(E54/20)*SIN(3.14159*E76/180)+10^(F54/20)*SIN(3.14159*F76/180)+10^(G54/20)*SIN(3.14159*G76/180))^2)^0.5)+$L54</f>
        <v>0.03090250617044087</v>
      </c>
      <c r="I54" s="72">
        <v>0</v>
      </c>
      <c r="J54" s="72">
        <v>0</v>
      </c>
      <c r="K54" s="72">
        <v>0</v>
      </c>
      <c r="L54" s="72">
        <v>0</v>
      </c>
      <c r="M54" s="79"/>
    </row>
    <row r="55" spans="1:13" ht="12" customHeight="1">
      <c r="A55" s="82"/>
      <c r="B55" s="4">
        <v>40</v>
      </c>
      <c r="C55" s="5" t="s">
        <v>130</v>
      </c>
      <c r="D55" s="2" t="s">
        <v>128</v>
      </c>
      <c r="E55" s="7">
        <f t="shared" si="3"/>
        <v>-0.00017788277576548855</v>
      </c>
      <c r="F55" s="7">
        <f t="shared" si="4"/>
        <v>-43.81513269045763</v>
      </c>
      <c r="G55" s="7">
        <f t="shared" si="5"/>
        <v>-80.00001471674972</v>
      </c>
      <c r="H55" s="7">
        <f t="shared" si="6"/>
        <v>0.05476050494495233</v>
      </c>
      <c r="I55" s="72">
        <v>0</v>
      </c>
      <c r="J55" s="72">
        <v>0</v>
      </c>
      <c r="K55" s="72">
        <v>0</v>
      </c>
      <c r="L55" s="72">
        <v>0</v>
      </c>
      <c r="M55" s="79"/>
    </row>
    <row r="56" spans="1:13" ht="12" customHeight="1">
      <c r="A56" s="82"/>
      <c r="B56" s="4">
        <v>50</v>
      </c>
      <c r="C56" s="5" t="s">
        <v>130</v>
      </c>
      <c r="D56" s="2" t="s">
        <v>128</v>
      </c>
      <c r="E56" s="7">
        <f t="shared" si="3"/>
        <v>-0.0004342713014444864</v>
      </c>
      <c r="F56" s="7">
        <f t="shared" si="4"/>
        <v>-39.94338036783136</v>
      </c>
      <c r="G56" s="7">
        <f t="shared" si="5"/>
        <v>-76.12361425902674</v>
      </c>
      <c r="H56" s="7">
        <f t="shared" si="6"/>
        <v>0.08520852795719493</v>
      </c>
      <c r="I56" s="72">
        <v>0</v>
      </c>
      <c r="J56" s="72">
        <v>0</v>
      </c>
      <c r="K56" s="72">
        <v>0</v>
      </c>
      <c r="L56" s="72">
        <v>0</v>
      </c>
      <c r="M56" s="79"/>
    </row>
    <row r="57" spans="1:13" ht="12" customHeight="1">
      <c r="A57" s="82"/>
      <c r="B57" s="4">
        <v>70</v>
      </c>
      <c r="C57" s="5" t="s">
        <v>130</v>
      </c>
      <c r="D57" s="2" t="s">
        <v>128</v>
      </c>
      <c r="E57" s="7">
        <f t="shared" si="3"/>
        <v>-0.0016680596654786088</v>
      </c>
      <c r="F57" s="7">
        <f t="shared" si="4"/>
        <v>-34.11104269393411</v>
      </c>
      <c r="G57" s="7">
        <f t="shared" si="5"/>
        <v>-70.27849313318798</v>
      </c>
      <c r="H57" s="7">
        <f t="shared" si="6"/>
        <v>0.1651693469140977</v>
      </c>
      <c r="I57" s="72">
        <v>0</v>
      </c>
      <c r="J57" s="72">
        <v>0</v>
      </c>
      <c r="K57" s="72">
        <v>0</v>
      </c>
      <c r="L57" s="72">
        <v>0</v>
      </c>
      <c r="M57" s="79"/>
    </row>
    <row r="58" spans="1:13" ht="12" customHeight="1">
      <c r="A58" s="82"/>
      <c r="B58" s="4">
        <v>100</v>
      </c>
      <c r="C58" s="5" t="s">
        <v>130</v>
      </c>
      <c r="D58" s="2" t="s">
        <v>128</v>
      </c>
      <c r="E58" s="7">
        <f t="shared" si="3"/>
        <v>-0.006943135223775024</v>
      </c>
      <c r="F58" s="7">
        <f t="shared" si="4"/>
        <v>-27.94398572538423</v>
      </c>
      <c r="G58" s="7">
        <f t="shared" si="5"/>
        <v>-64.08241602289567</v>
      </c>
      <c r="H58" s="7">
        <f t="shared" si="6"/>
        <v>0.32924725720144515</v>
      </c>
      <c r="I58" s="72">
        <v>0</v>
      </c>
      <c r="J58" s="72">
        <v>0</v>
      </c>
      <c r="K58" s="72">
        <v>0</v>
      </c>
      <c r="L58" s="72">
        <v>0</v>
      </c>
      <c r="M58" s="79"/>
    </row>
    <row r="59" spans="1:13" ht="12" customHeight="1">
      <c r="A59" s="82"/>
      <c r="B59" s="4">
        <v>150</v>
      </c>
      <c r="C59" s="5" t="s">
        <v>130</v>
      </c>
      <c r="D59" s="2" t="s">
        <v>128</v>
      </c>
      <c r="E59" s="7">
        <f t="shared" si="3"/>
        <v>-0.03503602952664812</v>
      </c>
      <c r="F59" s="7">
        <f t="shared" si="4"/>
        <v>-20.98183876861834</v>
      </c>
      <c r="G59" s="7">
        <f t="shared" si="5"/>
        <v>-57.03877255251719</v>
      </c>
      <c r="H59" s="7">
        <f t="shared" si="6"/>
        <v>0.6994001467488814</v>
      </c>
      <c r="I59" s="72">
        <v>0</v>
      </c>
      <c r="J59" s="72">
        <v>0</v>
      </c>
      <c r="K59" s="72">
        <v>0</v>
      </c>
      <c r="L59" s="72">
        <v>0</v>
      </c>
      <c r="M59" s="79"/>
    </row>
    <row r="60" spans="1:13" ht="12" customHeight="1">
      <c r="A60" s="82"/>
      <c r="B60" s="4">
        <v>200</v>
      </c>
      <c r="C60" s="5" t="s">
        <v>130</v>
      </c>
      <c r="D60" s="2" t="s">
        <v>128</v>
      </c>
      <c r="E60" s="7">
        <f t="shared" si="3"/>
        <v>-0.10977975548729688</v>
      </c>
      <c r="F60" s="7">
        <f t="shared" si="4"/>
        <v>-16.12174912141046</v>
      </c>
      <c r="G60" s="7">
        <f t="shared" si="5"/>
        <v>-52.04124164310826</v>
      </c>
      <c r="H60" s="7">
        <f t="shared" si="6"/>
        <v>1.147486041492293</v>
      </c>
      <c r="I60" s="72">
        <v>0</v>
      </c>
      <c r="J60" s="72">
        <v>0</v>
      </c>
      <c r="K60" s="72">
        <v>0</v>
      </c>
      <c r="L60" s="72">
        <v>0</v>
      </c>
      <c r="M60" s="79"/>
    </row>
    <row r="61" spans="1:13" ht="12" customHeight="1">
      <c r="A61" s="82"/>
      <c r="B61" s="4">
        <v>300</v>
      </c>
      <c r="C61" s="5" t="s">
        <v>130</v>
      </c>
      <c r="D61" s="2" t="s">
        <v>128</v>
      </c>
      <c r="E61" s="7">
        <f t="shared" si="3"/>
        <v>-0.5292451535968644</v>
      </c>
      <c r="F61" s="7">
        <f t="shared" si="4"/>
        <v>-9.597666523903476</v>
      </c>
      <c r="G61" s="7">
        <f t="shared" si="5"/>
        <v>-44.997701548502704</v>
      </c>
      <c r="H61" s="7">
        <f t="shared" si="6"/>
        <v>2.058503414660794</v>
      </c>
      <c r="I61" s="72">
        <v>0</v>
      </c>
      <c r="J61" s="72">
        <v>0</v>
      </c>
      <c r="K61" s="72">
        <v>0</v>
      </c>
      <c r="L61" s="72">
        <v>0</v>
      </c>
      <c r="M61" s="79"/>
    </row>
    <row r="62" spans="1:13" ht="12" customHeight="1">
      <c r="A62" s="82"/>
      <c r="B62" s="4">
        <v>400</v>
      </c>
      <c r="C62" s="5" t="s">
        <v>130</v>
      </c>
      <c r="D62" s="2" t="s">
        <v>128</v>
      </c>
      <c r="E62" s="7">
        <f t="shared" si="3"/>
        <v>-1.4909546469277113</v>
      </c>
      <c r="F62" s="7">
        <f t="shared" si="4"/>
        <v>-5.539747753019625</v>
      </c>
      <c r="G62" s="7">
        <f t="shared" si="5"/>
        <v>-40.000448944621866</v>
      </c>
      <c r="H62" s="7">
        <f t="shared" si="6"/>
        <v>2.7045506532312946</v>
      </c>
      <c r="I62" s="72">
        <v>0</v>
      </c>
      <c r="J62" s="72">
        <v>0</v>
      </c>
      <c r="K62" s="72">
        <v>0</v>
      </c>
      <c r="L62" s="72">
        <v>0</v>
      </c>
      <c r="M62" s="79"/>
    </row>
    <row r="63" spans="1:13" ht="12" customHeight="1">
      <c r="A63" s="82"/>
      <c r="B63" s="4">
        <v>500</v>
      </c>
      <c r="C63" s="5" t="s">
        <v>130</v>
      </c>
      <c r="D63" s="2" t="s">
        <v>128</v>
      </c>
      <c r="E63" s="7">
        <f t="shared" si="3"/>
        <v>-3.010292619985799</v>
      </c>
      <c r="F63" s="7">
        <f t="shared" si="4"/>
        <v>-3.0145056078393773</v>
      </c>
      <c r="G63" s="7">
        <f t="shared" si="5"/>
        <v>-36.124674309270375</v>
      </c>
      <c r="H63" s="7">
        <f t="shared" si="6"/>
        <v>2.984587563775603</v>
      </c>
      <c r="I63" s="72">
        <v>0</v>
      </c>
      <c r="J63" s="72">
        <v>0</v>
      </c>
      <c r="K63" s="72">
        <v>0</v>
      </c>
      <c r="L63" s="72">
        <v>0</v>
      </c>
      <c r="M63" s="79"/>
    </row>
    <row r="64" spans="1:13" ht="12" customHeight="1">
      <c r="A64" s="82"/>
      <c r="B64" s="4">
        <v>700</v>
      </c>
      <c r="C64" s="5" t="s">
        <v>130</v>
      </c>
      <c r="D64" s="2" t="s">
        <v>128</v>
      </c>
      <c r="E64" s="7">
        <f t="shared" si="3"/>
        <v>-6.849877420790462</v>
      </c>
      <c r="F64" s="7">
        <f t="shared" si="4"/>
        <v>-0.5352091074633392</v>
      </c>
      <c r="G64" s="7">
        <f t="shared" si="5"/>
        <v>-30.282564010432296</v>
      </c>
      <c r="H64" s="7">
        <f t="shared" si="6"/>
        <v>2.923990123370113</v>
      </c>
      <c r="I64" s="72">
        <v>0</v>
      </c>
      <c r="J64" s="72">
        <v>0</v>
      </c>
      <c r="K64" s="72">
        <v>0</v>
      </c>
      <c r="L64" s="72">
        <v>0</v>
      </c>
      <c r="M64" s="79"/>
    </row>
    <row r="65" spans="1:13" ht="12" customHeight="1">
      <c r="A65" s="82"/>
      <c r="B65" s="4" t="s">
        <v>1</v>
      </c>
      <c r="C65" s="5" t="s">
        <v>130</v>
      </c>
      <c r="D65" s="2" t="s">
        <v>128</v>
      </c>
      <c r="E65" s="7">
        <f t="shared" si="3"/>
        <v>-12.304475403600183</v>
      </c>
      <c r="F65" s="7">
        <f t="shared" si="4"/>
        <v>0.6805753985006848</v>
      </c>
      <c r="G65" s="7">
        <f t="shared" si="5"/>
        <v>-24.099345849538835</v>
      </c>
      <c r="H65" s="7">
        <f t="shared" si="6"/>
        <v>2.645399146569118</v>
      </c>
      <c r="I65" s="72">
        <v>0</v>
      </c>
      <c r="J65" s="72">
        <v>0</v>
      </c>
      <c r="K65" s="72">
        <v>0</v>
      </c>
      <c r="L65" s="72">
        <v>0</v>
      </c>
      <c r="M65" s="79"/>
    </row>
    <row r="66" spans="1:13" ht="12" customHeight="1">
      <c r="A66" s="82"/>
      <c r="B66" s="4" t="s">
        <v>2</v>
      </c>
      <c r="C66" s="5" t="s">
        <v>130</v>
      </c>
      <c r="D66" s="2" t="s">
        <v>128</v>
      </c>
      <c r="E66" s="7">
        <f t="shared" si="3"/>
        <v>-19.13812402945998</v>
      </c>
      <c r="F66" s="7">
        <f t="shared" si="4"/>
        <v>1.189391007572366</v>
      </c>
      <c r="G66" s="7">
        <f t="shared" si="5"/>
        <v>-17.123808952641927</v>
      </c>
      <c r="H66" s="7">
        <f t="shared" si="6"/>
        <v>2.6952313455873527</v>
      </c>
      <c r="I66" s="72">
        <v>0</v>
      </c>
      <c r="J66" s="72">
        <v>0</v>
      </c>
      <c r="K66" s="72">
        <v>0</v>
      </c>
      <c r="L66" s="72">
        <v>0</v>
      </c>
      <c r="M66" s="79"/>
    </row>
    <row r="67" spans="1:13" ht="12" customHeight="1">
      <c r="A67" s="82"/>
      <c r="B67" s="4" t="s">
        <v>3</v>
      </c>
      <c r="C67" s="5" t="s">
        <v>130</v>
      </c>
      <c r="D67" s="2" t="s">
        <v>128</v>
      </c>
      <c r="E67" s="7">
        <f t="shared" si="3"/>
        <v>-24.09931661708725</v>
      </c>
      <c r="F67" s="7">
        <f t="shared" si="4"/>
        <v>1.1674043971342392</v>
      </c>
      <c r="G67" s="7">
        <f t="shared" si="5"/>
        <v>-12.30450302396804</v>
      </c>
      <c r="H67" s="7">
        <f t="shared" si="6"/>
        <v>3.0392231724361936</v>
      </c>
      <c r="I67" s="72">
        <v>0</v>
      </c>
      <c r="J67" s="72">
        <v>0</v>
      </c>
      <c r="K67" s="72">
        <v>0</v>
      </c>
      <c r="L67" s="72">
        <v>0</v>
      </c>
      <c r="M67" s="79"/>
    </row>
    <row r="68" spans="1:13" ht="12" customHeight="1">
      <c r="A68" s="82"/>
      <c r="B68" s="4" t="s">
        <v>4</v>
      </c>
      <c r="C68" s="5" t="s">
        <v>130</v>
      </c>
      <c r="D68" s="2" t="s">
        <v>128</v>
      </c>
      <c r="E68" s="7">
        <f t="shared" si="3"/>
        <v>-31.12938509883368</v>
      </c>
      <c r="F68" s="7">
        <f t="shared" si="4"/>
        <v>-0.1967886169937249</v>
      </c>
      <c r="G68" s="7">
        <f t="shared" si="5"/>
        <v>-6.191459966430014</v>
      </c>
      <c r="H68" s="7">
        <f t="shared" si="6"/>
        <v>3.3617826444733367</v>
      </c>
      <c r="I68" s="72">
        <v>0</v>
      </c>
      <c r="J68" s="72">
        <v>0</v>
      </c>
      <c r="K68" s="72">
        <v>0</v>
      </c>
      <c r="L68" s="72">
        <v>0</v>
      </c>
      <c r="M68" s="79"/>
    </row>
    <row r="69" spans="1:13" ht="12" customHeight="1">
      <c r="A69" s="82"/>
      <c r="B69" s="4" t="s">
        <v>5</v>
      </c>
      <c r="C69" s="5" t="s">
        <v>130</v>
      </c>
      <c r="D69" s="2" t="s">
        <v>128</v>
      </c>
      <c r="E69" s="7">
        <f t="shared" si="3"/>
        <v>-36.124644969792485</v>
      </c>
      <c r="F69" s="7">
        <f t="shared" si="4"/>
        <v>-3.0224424842465396</v>
      </c>
      <c r="G69" s="7">
        <f t="shared" si="5"/>
        <v>-3.010307293306222</v>
      </c>
      <c r="H69" s="7">
        <f t="shared" si="6"/>
        <v>2.9707262244663584</v>
      </c>
      <c r="I69" s="72">
        <v>0</v>
      </c>
      <c r="J69" s="72">
        <v>0</v>
      </c>
      <c r="K69" s="72">
        <v>0</v>
      </c>
      <c r="L69" s="72">
        <v>0</v>
      </c>
      <c r="M69" s="79"/>
    </row>
    <row r="70" spans="1:13" ht="12" customHeight="1">
      <c r="A70" s="82"/>
      <c r="B70" s="4" t="s">
        <v>6</v>
      </c>
      <c r="C70" s="5" t="s">
        <v>130</v>
      </c>
      <c r="D70" s="2" t="s">
        <v>128</v>
      </c>
      <c r="E70" s="7">
        <f t="shared" si="3"/>
        <v>-40.00041960091539</v>
      </c>
      <c r="F70" s="7">
        <f t="shared" si="4"/>
        <v>-6.217617704064232</v>
      </c>
      <c r="G70" s="7">
        <f t="shared" si="5"/>
        <v>-1.4909631744419647</v>
      </c>
      <c r="H70" s="7">
        <f t="shared" si="6"/>
        <v>2.43520373705885</v>
      </c>
      <c r="I70" s="72">
        <v>0</v>
      </c>
      <c r="J70" s="72">
        <v>0</v>
      </c>
      <c r="K70" s="72">
        <v>0</v>
      </c>
      <c r="L70" s="72">
        <v>0</v>
      </c>
      <c r="M70" s="79"/>
    </row>
    <row r="71" spans="1:13" ht="12" customHeight="1">
      <c r="A71" s="82"/>
      <c r="B71" s="4" t="s">
        <v>7</v>
      </c>
      <c r="C71" s="5" t="s">
        <v>130</v>
      </c>
      <c r="D71" s="2" t="s">
        <v>128</v>
      </c>
      <c r="E71" s="7">
        <f t="shared" si="3"/>
        <v>-45.845219803136665</v>
      </c>
      <c r="F71" s="7">
        <f t="shared" si="4"/>
        <v>-11.815821818245073</v>
      </c>
      <c r="G71" s="7">
        <f t="shared" si="5"/>
        <v>-0.4399953572983152</v>
      </c>
      <c r="H71" s="7">
        <f t="shared" si="6"/>
        <v>1.599737054444339</v>
      </c>
      <c r="I71" s="72">
        <v>0</v>
      </c>
      <c r="J71" s="72">
        <v>0</v>
      </c>
      <c r="K71" s="72">
        <v>0</v>
      </c>
      <c r="L71" s="72">
        <v>0</v>
      </c>
      <c r="M71" s="79"/>
    </row>
    <row r="72" spans="1:13" ht="12" customHeight="1">
      <c r="A72" s="82"/>
      <c r="B72" s="4" t="s">
        <v>8</v>
      </c>
      <c r="C72" s="5" t="s">
        <v>130</v>
      </c>
      <c r="D72" s="2" t="s">
        <v>128</v>
      </c>
      <c r="E72" s="7">
        <f t="shared" si="3"/>
        <v>-52.04121229665083</v>
      </c>
      <c r="F72" s="7">
        <f t="shared" si="4"/>
        <v>-18.037164848692136</v>
      </c>
      <c r="G72" s="7">
        <f t="shared" si="5"/>
        <v>-0.10978048800875355</v>
      </c>
      <c r="H72" s="7">
        <f t="shared" si="6"/>
        <v>0.9088089293286216</v>
      </c>
      <c r="I72" s="72">
        <v>0</v>
      </c>
      <c r="J72" s="72">
        <v>0</v>
      </c>
      <c r="K72" s="72">
        <v>0</v>
      </c>
      <c r="L72" s="72">
        <v>0</v>
      </c>
      <c r="M72" s="79"/>
    </row>
    <row r="73" spans="1:13" ht="12" customHeight="1">
      <c r="A73" s="82"/>
      <c r="B73" s="4" t="s">
        <v>9</v>
      </c>
      <c r="C73" s="5" t="s">
        <v>130</v>
      </c>
      <c r="D73" s="2" t="s">
        <v>128</v>
      </c>
      <c r="E73" s="7">
        <f t="shared" si="3"/>
        <v>-59.084840877141154</v>
      </c>
      <c r="F73" s="7">
        <f t="shared" si="4"/>
        <v>-25.138979159893758</v>
      </c>
      <c r="G73" s="7">
        <f t="shared" si="5"/>
        <v>-0.021906093784103554</v>
      </c>
      <c r="H73" s="7">
        <f t="shared" si="6"/>
        <v>0.43794211106243397</v>
      </c>
      <c r="I73" s="72">
        <v>0</v>
      </c>
      <c r="J73" s="72">
        <v>0</v>
      </c>
      <c r="K73" s="72">
        <v>0</v>
      </c>
      <c r="L73" s="72">
        <v>0</v>
      </c>
      <c r="M73" s="79"/>
    </row>
    <row r="74" spans="1:13" ht="12" customHeight="1">
      <c r="A74" s="83"/>
      <c r="B74" s="4" t="s">
        <v>10</v>
      </c>
      <c r="C74" s="5" t="s">
        <v>130</v>
      </c>
      <c r="D74" s="2" t="s">
        <v>128</v>
      </c>
      <c r="E74" s="7">
        <f t="shared" si="3"/>
        <v>-64.0823866762663</v>
      </c>
      <c r="F74" s="7">
        <f t="shared" si="4"/>
        <v>-30.163969466547872</v>
      </c>
      <c r="G74" s="7">
        <f t="shared" si="5"/>
        <v>-0.006943182103393209</v>
      </c>
      <c r="H74" s="7">
        <f t="shared" si="6"/>
        <v>0.25343762435120276</v>
      </c>
      <c r="I74" s="72">
        <v>0</v>
      </c>
      <c r="J74" s="72">
        <v>0</v>
      </c>
      <c r="K74" s="72">
        <v>0</v>
      </c>
      <c r="L74" s="72">
        <v>0</v>
      </c>
      <c r="M74" s="80"/>
    </row>
    <row r="75" spans="1:8" ht="12" customHeight="1">
      <c r="A75" s="81" t="s">
        <v>117</v>
      </c>
      <c r="B75" s="4">
        <v>20</v>
      </c>
      <c r="C75" s="5" t="s">
        <v>130</v>
      </c>
      <c r="D75" s="2" t="s">
        <v>124</v>
      </c>
      <c r="E75" s="6">
        <f>IF($H$17=0,0,E207)+180/3.14159*ATAN2((E$28*(E97-E119)),E97*E119)-180</f>
        <v>-3.2427136415967084</v>
      </c>
      <c r="F75" s="6">
        <f>IF($H$17=0,0,F207)+0*IF(F97-F119+F97*F119*F163=0,-90,IF(F97-F119+F97*F119*F163&lt;0,0,-180))+0*IF(G97-G119=0,90,IF(G97-G119&lt;0,0,-180))+180/3.14159*ATAN2((F97-F119+F97*F119*F163),F97*F119*F141)+180/3.14159*ATAN2((F$28*(G97-G119)),G97*G119)-360</f>
        <v>-3.715860459722876</v>
      </c>
      <c r="G75" s="6">
        <f>IF($H$17=0,0,G207)+180/3.14159*ATAN2((G$28*(H97-H119)),H97*H119)</f>
        <v>179.5950063212236</v>
      </c>
      <c r="H75" s="6">
        <f>180/3.14159*ATAN2((10^(E53/20)*COS(PI()*E75/180)+10^(F53/20)*COS(PI()*F75/180)+10^(G53/20)*COS(PI()*G75/180)),(10^(E53/20)*SIN(PI()*E75/180)+10^(F53/20)*SIN(PI()*F75/180)+10^(G53/20)*SIN(PI()*G75/180)))</f>
        <v>-3.2435488929842777</v>
      </c>
    </row>
    <row r="76" spans="1:8" ht="12" customHeight="1">
      <c r="A76" s="82"/>
      <c r="B76" s="4">
        <v>30</v>
      </c>
      <c r="C76" s="5" t="s">
        <v>130</v>
      </c>
      <c r="D76" s="2" t="s">
        <v>124</v>
      </c>
      <c r="E76" s="6">
        <f aca="true" t="shared" si="7" ref="E76:E96">IF($H$17=0,0,E208)+180/3.14159*ATAN2((E$28*(E98-E120)),E98*E120)-180</f>
        <v>-4.867377473679653</v>
      </c>
      <c r="F76" s="6">
        <f aca="true" t="shared" si="8" ref="F76:F96">IF($H$17=0,0,F208)+0*IF(F98-F120+F98*F120*F164=0,-90,IF(F98-F120+F98*F120*F164&lt;0,0,-180))+0*IF(G98-G120=0,90,IF(G98-G120&lt;0,0,-180))+180/3.14159*ATAN2((F98-F120+F98*F120*F164),F98*F120*F142)+180/3.14159*ATAN2((F$28*(G98-G120)),G98*G120)-360</f>
        <v>-5.575828546668276</v>
      </c>
      <c r="G76" s="6">
        <f aca="true" t="shared" si="9" ref="G76:G96">IF($H$17=0,0,G208)+180/3.14159*ATAN2((G$28*(H98-H120)),H98*H120)</f>
        <v>179.39242713199354</v>
      </c>
      <c r="H76" s="6">
        <f aca="true" t="shared" si="10" ref="H76:H96">180/3.14159*ATAN2((10^(E54/20)*COS(PI()*E76/180)+10^(F54/20)*COS(PI()*F76/180)+10^(G54/20)*COS(PI()*G76/180)),(10^(E54/20)*SIN(PI()*E76/180)+10^(F54/20)*SIN(PI()*F76/180)+10^(G54/20)*SIN(PI()*G76/180)))</f>
        <v>-4.870180469619349</v>
      </c>
    </row>
    <row r="77" spans="1:8" ht="12" customHeight="1">
      <c r="A77" s="82"/>
      <c r="B77" s="4">
        <v>40</v>
      </c>
      <c r="C77" s="5" t="s">
        <v>130</v>
      </c>
      <c r="D77" s="2" t="s">
        <v>124</v>
      </c>
      <c r="E77" s="6">
        <f t="shared" si="7"/>
        <v>-6.49590092778422</v>
      </c>
      <c r="F77" s="6">
        <f t="shared" si="8"/>
        <v>-7.438043310547414</v>
      </c>
      <c r="G77" s="6">
        <f t="shared" si="9"/>
        <v>179.18984034725958</v>
      </c>
      <c r="H77" s="6">
        <f t="shared" si="10"/>
        <v>-6.50250445159848</v>
      </c>
    </row>
    <row r="78" spans="1:8" ht="12" customHeight="1">
      <c r="A78" s="82"/>
      <c r="B78" s="4">
        <v>50</v>
      </c>
      <c r="C78" s="5" t="s">
        <v>130</v>
      </c>
      <c r="D78" s="2" t="s">
        <v>124</v>
      </c>
      <c r="E78" s="6">
        <f t="shared" si="7"/>
        <v>-8.129541044789761</v>
      </c>
      <c r="F78" s="6">
        <f t="shared" si="8"/>
        <v>-9.303226436427963</v>
      </c>
      <c r="G78" s="6">
        <f t="shared" si="9"/>
        <v>178.98724343607347</v>
      </c>
      <c r="H78" s="6">
        <f t="shared" si="10"/>
        <v>-8.142343701885633</v>
      </c>
    </row>
    <row r="79" spans="1:8" ht="12" customHeight="1">
      <c r="A79" s="82"/>
      <c r="B79" s="4">
        <v>70</v>
      </c>
      <c r="C79" s="5" t="s">
        <v>130</v>
      </c>
      <c r="D79" s="2" t="s">
        <v>124</v>
      </c>
      <c r="E79" s="6">
        <f t="shared" si="7"/>
        <v>-11.417063866615678</v>
      </c>
      <c r="F79" s="6">
        <f t="shared" si="8"/>
        <v>-13.045261676014547</v>
      </c>
      <c r="G79" s="6">
        <f t="shared" si="9"/>
        <v>178.58200911454279</v>
      </c>
      <c r="H79" s="6">
        <f t="shared" si="10"/>
        <v>-11.451528595640262</v>
      </c>
    </row>
    <row r="80" spans="1:8" ht="12" customHeight="1">
      <c r="A80" s="82"/>
      <c r="B80" s="4">
        <v>100</v>
      </c>
      <c r="C80" s="5" t="s">
        <v>130</v>
      </c>
      <c r="D80" s="2" t="s">
        <v>124</v>
      </c>
      <c r="E80" s="6">
        <f t="shared" si="7"/>
        <v>-16.416287987178066</v>
      </c>
      <c r="F80" s="6">
        <f t="shared" si="8"/>
        <v>-18.696957346783847</v>
      </c>
      <c r="G80" s="6">
        <f t="shared" si="9"/>
        <v>177.97401846403918</v>
      </c>
      <c r="H80" s="6">
        <f t="shared" si="10"/>
        <v>-16.512830764331092</v>
      </c>
    </row>
    <row r="81" spans="1:8" ht="12" customHeight="1">
      <c r="A81" s="82"/>
      <c r="B81" s="4">
        <v>150</v>
      </c>
      <c r="C81" s="5" t="s">
        <v>130</v>
      </c>
      <c r="D81" s="2" t="s">
        <v>124</v>
      </c>
      <c r="E81" s="6">
        <f t="shared" si="7"/>
        <v>-24.995921422470786</v>
      </c>
      <c r="F81" s="6">
        <f t="shared" si="8"/>
        <v>-28.25271773710483</v>
      </c>
      <c r="G81" s="6">
        <f t="shared" si="9"/>
        <v>176.96016134943196</v>
      </c>
      <c r="H81" s="6">
        <f t="shared" si="10"/>
        <v>-25.29196119241274</v>
      </c>
    </row>
    <row r="82" spans="1:8" ht="12" customHeight="1">
      <c r="A82" s="82"/>
      <c r="B82" s="4">
        <v>200</v>
      </c>
      <c r="C82" s="5" t="s">
        <v>130</v>
      </c>
      <c r="D82" s="2" t="s">
        <v>124</v>
      </c>
      <c r="E82" s="6">
        <f t="shared" si="7"/>
        <v>-33.95755116754165</v>
      </c>
      <c r="F82" s="6">
        <f t="shared" si="8"/>
        <v>-38.005625299694884</v>
      </c>
      <c r="G82" s="6">
        <f t="shared" si="9"/>
        <v>175.94535750972292</v>
      </c>
      <c r="H82" s="6">
        <f t="shared" si="10"/>
        <v>-34.574056420646954</v>
      </c>
    </row>
    <row r="83" spans="1:8" ht="12" customHeight="1">
      <c r="A83" s="82"/>
      <c r="B83" s="4">
        <v>300</v>
      </c>
      <c r="C83" s="5" t="s">
        <v>130</v>
      </c>
      <c r="D83" s="2" t="s">
        <v>124</v>
      </c>
      <c r="E83" s="6">
        <f t="shared" si="7"/>
        <v>-52.9745197975715</v>
      </c>
      <c r="F83" s="6">
        <f t="shared" si="8"/>
        <v>-57.97021674921234</v>
      </c>
      <c r="G83" s="6">
        <f t="shared" si="9"/>
        <v>173.91166090701174</v>
      </c>
      <c r="H83" s="6">
        <f t="shared" si="10"/>
        <v>-54.464236091898634</v>
      </c>
    </row>
    <row r="84" spans="1:8" ht="12" customHeight="1">
      <c r="A84" s="82"/>
      <c r="B84" s="4">
        <v>400</v>
      </c>
      <c r="C84" s="5" t="s">
        <v>130</v>
      </c>
      <c r="D84" s="2" t="s">
        <v>124</v>
      </c>
      <c r="E84" s="6">
        <f t="shared" si="7"/>
        <v>-72.34887655611554</v>
      </c>
      <c r="F84" s="6">
        <f t="shared" si="8"/>
        <v>-77.75692439471044</v>
      </c>
      <c r="G84" s="6">
        <f t="shared" si="9"/>
        <v>171.87045895521024</v>
      </c>
      <c r="H84" s="6">
        <f t="shared" si="10"/>
        <v>-74.8177361583977</v>
      </c>
    </row>
    <row r="85" spans="1:8" ht="12" customHeight="1">
      <c r="A85" s="82"/>
      <c r="B85" s="4">
        <v>500</v>
      </c>
      <c r="C85" s="5" t="s">
        <v>130</v>
      </c>
      <c r="D85" s="2" t="s">
        <v>124</v>
      </c>
      <c r="E85" s="6">
        <f t="shared" si="7"/>
        <v>-89.99985553828188</v>
      </c>
      <c r="F85" s="6">
        <f t="shared" si="8"/>
        <v>-96.06394383706595</v>
      </c>
      <c r="G85" s="6">
        <f t="shared" si="9"/>
        <v>169.81934067135015</v>
      </c>
      <c r="H85" s="6">
        <f t="shared" si="10"/>
        <v>-93.66115255459704</v>
      </c>
    </row>
    <row r="86" spans="1:8" ht="12" customHeight="1">
      <c r="A86" s="82"/>
      <c r="B86" s="4">
        <v>700</v>
      </c>
      <c r="C86" s="5" t="s">
        <v>130</v>
      </c>
      <c r="D86" s="2" t="s">
        <v>124</v>
      </c>
      <c r="E86" s="6">
        <f t="shared" si="7"/>
        <v>-115.86739157011985</v>
      </c>
      <c r="F86" s="6">
        <f t="shared" si="8"/>
        <v>-125.38995478938685</v>
      </c>
      <c r="G86" s="6">
        <f t="shared" si="9"/>
        <v>165.67813293173373</v>
      </c>
      <c r="H86" s="6">
        <f t="shared" si="10"/>
        <v>-123.48201152244403</v>
      </c>
    </row>
    <row r="87" spans="1:8" ht="12" customHeight="1">
      <c r="A87" s="82"/>
      <c r="B87" s="4" t="s">
        <v>1</v>
      </c>
      <c r="C87" s="5" t="s">
        <v>130</v>
      </c>
      <c r="D87" s="2" t="s">
        <v>124</v>
      </c>
      <c r="E87" s="6">
        <f t="shared" si="7"/>
        <v>-136.68606649607193</v>
      </c>
      <c r="F87" s="6">
        <f t="shared" si="8"/>
        <v>-154.2478438989868</v>
      </c>
      <c r="G87" s="6">
        <f t="shared" si="9"/>
        <v>159.33750869097275</v>
      </c>
      <c r="H87" s="6">
        <f t="shared" si="10"/>
        <v>-153.0649103901894</v>
      </c>
    </row>
    <row r="88" spans="1:8" ht="12" customHeight="1">
      <c r="A88" s="82"/>
      <c r="B88" s="4" t="s">
        <v>2</v>
      </c>
      <c r="C88" s="5" t="s">
        <v>130</v>
      </c>
      <c r="D88" s="2" t="s">
        <v>124</v>
      </c>
      <c r="E88" s="6">
        <f t="shared" si="7"/>
        <v>-152.06159863212682</v>
      </c>
      <c r="F88" s="6">
        <f t="shared" si="8"/>
        <v>-184.4369586337302</v>
      </c>
      <c r="G88" s="6">
        <f t="shared" si="9"/>
        <v>148.3209466685476</v>
      </c>
      <c r="H88" s="6">
        <f t="shared" si="10"/>
        <v>175.36944363992916</v>
      </c>
    </row>
    <row r="89" spans="1:8" ht="12" customHeight="1">
      <c r="A89" s="82"/>
      <c r="B89" s="4" t="s">
        <v>3</v>
      </c>
      <c r="C89" s="5" t="s">
        <v>130</v>
      </c>
      <c r="D89" s="2" t="s">
        <v>124</v>
      </c>
      <c r="E89" s="6">
        <f t="shared" si="7"/>
        <v>-159.33732043306372</v>
      </c>
      <c r="F89" s="6">
        <f t="shared" si="8"/>
        <v>-207.42382268253812</v>
      </c>
      <c r="G89" s="6">
        <f t="shared" si="9"/>
        <v>136.68629905558552</v>
      </c>
      <c r="H89" s="6">
        <f t="shared" si="10"/>
        <v>151.7693172870554</v>
      </c>
    </row>
    <row r="90" spans="1:8" ht="12" customHeight="1">
      <c r="A90" s="82"/>
      <c r="B90" s="4" t="s">
        <v>4</v>
      </c>
      <c r="C90" s="5" t="s">
        <v>130</v>
      </c>
      <c r="D90" s="2" t="s">
        <v>124</v>
      </c>
      <c r="E90" s="6">
        <f t="shared" si="7"/>
        <v>-166.37231260209043</v>
      </c>
      <c r="F90" s="6">
        <f t="shared" si="8"/>
        <v>-246.63096328254673</v>
      </c>
      <c r="G90" s="6">
        <f t="shared" si="9"/>
        <v>112.4152729342948</v>
      </c>
      <c r="H90" s="6">
        <f t="shared" si="10"/>
        <v>114.11641590406084</v>
      </c>
    </row>
    <row r="91" spans="1:8" ht="12" customHeight="1">
      <c r="A91" s="82"/>
      <c r="B91" s="4" t="s">
        <v>5</v>
      </c>
      <c r="C91" s="5" t="s">
        <v>130</v>
      </c>
      <c r="D91" s="2" t="s">
        <v>124</v>
      </c>
      <c r="E91" s="6">
        <f t="shared" si="7"/>
        <v>-169.81917125813987</v>
      </c>
      <c r="F91" s="6">
        <f t="shared" si="8"/>
        <v>-276.0305542161621</v>
      </c>
      <c r="G91" s="6">
        <f t="shared" si="9"/>
        <v>90.00014446171812</v>
      </c>
      <c r="H91" s="6">
        <f t="shared" si="10"/>
        <v>87.60605426574513</v>
      </c>
    </row>
    <row r="92" spans="1:8" ht="12" customHeight="1">
      <c r="A92" s="82"/>
      <c r="B92" s="4" t="s">
        <v>6</v>
      </c>
      <c r="C92" s="5" t="s">
        <v>130</v>
      </c>
      <c r="D92" s="2" t="s">
        <v>124</v>
      </c>
      <c r="E92" s="6">
        <f t="shared" si="7"/>
        <v>-171.87029309170347</v>
      </c>
      <c r="F92" s="6">
        <f t="shared" si="8"/>
        <v>-295.21762313622463</v>
      </c>
      <c r="G92" s="6">
        <f t="shared" si="9"/>
        <v>72.349156001785</v>
      </c>
      <c r="H92" s="6">
        <f t="shared" si="10"/>
        <v>69.95212113920716</v>
      </c>
    </row>
    <row r="93" spans="1:8" ht="12" customHeight="1">
      <c r="A93" s="82"/>
      <c r="B93" s="4" t="s">
        <v>7</v>
      </c>
      <c r="C93" s="5" t="s">
        <v>130</v>
      </c>
      <c r="D93" s="2" t="s">
        <v>124</v>
      </c>
      <c r="E93" s="6">
        <f t="shared" si="7"/>
        <v>-174.20242957568203</v>
      </c>
      <c r="F93" s="6">
        <f t="shared" si="8"/>
        <v>-316.12094557571857</v>
      </c>
      <c r="G93" s="6">
        <f t="shared" si="9"/>
        <v>50.193080586348515</v>
      </c>
      <c r="H93" s="6">
        <f t="shared" si="10"/>
        <v>49.01837607922606</v>
      </c>
    </row>
    <row r="94" spans="1:8" ht="12" customHeight="1">
      <c r="A94" s="82"/>
      <c r="B94" s="4" t="s">
        <v>8</v>
      </c>
      <c r="C94" s="5" t="s">
        <v>130</v>
      </c>
      <c r="D94" s="2" t="s">
        <v>124</v>
      </c>
      <c r="E94" s="6">
        <f t="shared" si="7"/>
        <v>-175.94519860884057</v>
      </c>
      <c r="F94" s="6">
        <f t="shared" si="8"/>
        <v>-330.3778095004197</v>
      </c>
      <c r="G94" s="6">
        <f t="shared" si="9"/>
        <v>33.957765135879534</v>
      </c>
      <c r="H94" s="6">
        <f t="shared" si="10"/>
        <v>33.533077297182764</v>
      </c>
    </row>
    <row r="95" spans="1:8" ht="12" customHeight="1">
      <c r="A95" s="82"/>
      <c r="B95" s="4" t="s">
        <v>9</v>
      </c>
      <c r="C95" s="5" t="s">
        <v>130</v>
      </c>
      <c r="D95" s="2" t="s">
        <v>124</v>
      </c>
      <c r="E95" s="6">
        <f t="shared" si="7"/>
        <v>-177.29804680132588</v>
      </c>
      <c r="F95" s="6">
        <f t="shared" si="8"/>
        <v>-340.6688114188384</v>
      </c>
      <c r="G95" s="6">
        <f t="shared" si="9"/>
        <v>22.096911383183723</v>
      </c>
      <c r="H95" s="6">
        <f t="shared" si="10"/>
        <v>21.97155426306665</v>
      </c>
    </row>
    <row r="96" spans="1:8" ht="12" customHeight="1">
      <c r="A96" s="83"/>
      <c r="B96" s="4" t="s">
        <v>10</v>
      </c>
      <c r="C96" s="5" t="s">
        <v>130</v>
      </c>
      <c r="D96" s="2" t="s">
        <v>124</v>
      </c>
      <c r="E96" s="6">
        <f t="shared" si="7"/>
        <v>-177.9738630001823</v>
      </c>
      <c r="F96" s="6">
        <f t="shared" si="8"/>
        <v>-345.6136985917435</v>
      </c>
      <c r="G96" s="6">
        <f t="shared" si="9"/>
        <v>16.416468453152955</v>
      </c>
      <c r="H96" s="6">
        <f t="shared" si="10"/>
        <v>16.363951538095687</v>
      </c>
    </row>
    <row r="97" spans="1:13" ht="12" customHeight="1">
      <c r="A97" s="81" t="s">
        <v>118</v>
      </c>
      <c r="B97" s="4">
        <v>20</v>
      </c>
      <c r="C97" s="5" t="s">
        <v>130</v>
      </c>
      <c r="D97" s="2" t="s">
        <v>127</v>
      </c>
      <c r="E97" s="6">
        <f aca="true" t="shared" si="11" ref="E97:H118">2*3.14159*$B97*E$18*0.001</f>
        <v>0.3394109682811204</v>
      </c>
      <c r="F97" s="6">
        <f t="shared" si="11"/>
        <v>0.34076861215424487</v>
      </c>
      <c r="G97" s="6">
        <f t="shared" si="11"/>
        <v>0.048281210237989376</v>
      </c>
      <c r="H97" s="6">
        <f t="shared" si="11"/>
        <v>0.04242637103514005</v>
      </c>
      <c r="J97" s="10"/>
      <c r="K97" s="10"/>
      <c r="L97" s="10"/>
      <c r="M97" s="10"/>
    </row>
    <row r="98" spans="1:8" ht="12" customHeight="1">
      <c r="A98" s="82"/>
      <c r="B98" s="4">
        <v>30</v>
      </c>
      <c r="C98" s="5" t="s">
        <v>130</v>
      </c>
      <c r="D98" s="2" t="s">
        <v>127</v>
      </c>
      <c r="E98" s="6">
        <f t="shared" si="11"/>
        <v>0.5091164524216806</v>
      </c>
      <c r="F98" s="6">
        <f t="shared" si="11"/>
        <v>0.5111529182313673</v>
      </c>
      <c r="G98" s="6">
        <f t="shared" si="11"/>
        <v>0.07242181535698405</v>
      </c>
      <c r="H98" s="6">
        <f t="shared" si="11"/>
        <v>0.06363955655271007</v>
      </c>
    </row>
    <row r="99" spans="1:8" ht="12" customHeight="1">
      <c r="A99" s="82"/>
      <c r="B99" s="4">
        <v>40</v>
      </c>
      <c r="C99" s="5" t="s">
        <v>130</v>
      </c>
      <c r="D99" s="2" t="s">
        <v>127</v>
      </c>
      <c r="E99" s="6">
        <f t="shared" si="11"/>
        <v>0.6788219365622408</v>
      </c>
      <c r="F99" s="6">
        <f t="shared" si="11"/>
        <v>0.6815372243084897</v>
      </c>
      <c r="G99" s="6">
        <f t="shared" si="11"/>
        <v>0.09656242047597875</v>
      </c>
      <c r="H99" s="6">
        <f t="shared" si="11"/>
        <v>0.0848527420702801</v>
      </c>
    </row>
    <row r="100" spans="1:8" ht="12" customHeight="1">
      <c r="A100" s="82"/>
      <c r="B100" s="4">
        <v>50</v>
      </c>
      <c r="C100" s="5" t="s">
        <v>130</v>
      </c>
      <c r="D100" s="2" t="s">
        <v>127</v>
      </c>
      <c r="E100" s="6">
        <f t="shared" si="11"/>
        <v>0.8485274207028011</v>
      </c>
      <c r="F100" s="6">
        <f t="shared" si="11"/>
        <v>0.8519215303856122</v>
      </c>
      <c r="G100" s="6">
        <f t="shared" si="11"/>
        <v>0.12070302559497344</v>
      </c>
      <c r="H100" s="6">
        <f t="shared" si="11"/>
        <v>0.10606592758785013</v>
      </c>
    </row>
    <row r="101" spans="1:8" ht="12" customHeight="1">
      <c r="A101" s="82"/>
      <c r="B101" s="4">
        <v>70</v>
      </c>
      <c r="C101" s="5" t="s">
        <v>130</v>
      </c>
      <c r="D101" s="2" t="s">
        <v>127</v>
      </c>
      <c r="E101" s="6">
        <f t="shared" si="11"/>
        <v>1.1879383889839215</v>
      </c>
      <c r="F101" s="6">
        <f t="shared" si="11"/>
        <v>1.1926901425398568</v>
      </c>
      <c r="G101" s="6">
        <f t="shared" si="11"/>
        <v>0.16898423583296282</v>
      </c>
      <c r="H101" s="6">
        <f t="shared" si="11"/>
        <v>0.14849229862299018</v>
      </c>
    </row>
    <row r="102" spans="1:8" ht="12" customHeight="1">
      <c r="A102" s="82"/>
      <c r="B102" s="4">
        <v>100</v>
      </c>
      <c r="C102" s="5" t="s">
        <v>130</v>
      </c>
      <c r="D102" s="2" t="s">
        <v>127</v>
      </c>
      <c r="E102" s="6">
        <f t="shared" si="11"/>
        <v>1.6970548414056021</v>
      </c>
      <c r="F102" s="6">
        <f t="shared" si="11"/>
        <v>1.7038430607712245</v>
      </c>
      <c r="G102" s="6">
        <f t="shared" si="11"/>
        <v>0.24140605118994687</v>
      </c>
      <c r="H102" s="6">
        <f t="shared" si="11"/>
        <v>0.21213185517570027</v>
      </c>
    </row>
    <row r="103" spans="1:8" ht="12" customHeight="1">
      <c r="A103" s="82"/>
      <c r="B103" s="4">
        <v>150</v>
      </c>
      <c r="C103" s="5" t="s">
        <v>130</v>
      </c>
      <c r="D103" s="2" t="s">
        <v>127</v>
      </c>
      <c r="E103" s="6">
        <f t="shared" si="11"/>
        <v>2.545582262108403</v>
      </c>
      <c r="F103" s="6">
        <f t="shared" si="11"/>
        <v>2.5557645911568367</v>
      </c>
      <c r="G103" s="6">
        <f t="shared" si="11"/>
        <v>0.3621090767849203</v>
      </c>
      <c r="H103" s="6">
        <f t="shared" si="11"/>
        <v>0.3181977827635504</v>
      </c>
    </row>
    <row r="104" spans="1:8" ht="12" customHeight="1">
      <c r="A104" s="82"/>
      <c r="B104" s="4">
        <v>200</v>
      </c>
      <c r="C104" s="5" t="s">
        <v>130</v>
      </c>
      <c r="D104" s="2" t="s">
        <v>127</v>
      </c>
      <c r="E104" s="6">
        <f t="shared" si="11"/>
        <v>3.3941096828112043</v>
      </c>
      <c r="F104" s="6">
        <f t="shared" si="11"/>
        <v>3.407686121542449</v>
      </c>
      <c r="G104" s="6">
        <f t="shared" si="11"/>
        <v>0.48281210237989375</v>
      </c>
      <c r="H104" s="6">
        <f t="shared" si="11"/>
        <v>0.42426371035140054</v>
      </c>
    </row>
    <row r="105" spans="1:8" ht="12" customHeight="1">
      <c r="A105" s="82"/>
      <c r="B105" s="4">
        <v>300</v>
      </c>
      <c r="C105" s="5" t="s">
        <v>130</v>
      </c>
      <c r="D105" s="2" t="s">
        <v>127</v>
      </c>
      <c r="E105" s="6">
        <f t="shared" si="11"/>
        <v>5.091164524216806</v>
      </c>
      <c r="F105" s="6">
        <f t="shared" si="11"/>
        <v>5.1115291823136735</v>
      </c>
      <c r="G105" s="6">
        <f t="shared" si="11"/>
        <v>0.7242181535698407</v>
      </c>
      <c r="H105" s="6">
        <f t="shared" si="11"/>
        <v>0.6363955655271007</v>
      </c>
    </row>
    <row r="106" spans="1:8" ht="12" customHeight="1">
      <c r="A106" s="82"/>
      <c r="B106" s="4">
        <v>400</v>
      </c>
      <c r="C106" s="5" t="s">
        <v>130</v>
      </c>
      <c r="D106" s="2" t="s">
        <v>127</v>
      </c>
      <c r="E106" s="6">
        <f t="shared" si="11"/>
        <v>6.788219365622409</v>
      </c>
      <c r="F106" s="6">
        <f t="shared" si="11"/>
        <v>6.815372243084898</v>
      </c>
      <c r="G106" s="6">
        <f t="shared" si="11"/>
        <v>0.9656242047597875</v>
      </c>
      <c r="H106" s="6">
        <f t="shared" si="11"/>
        <v>0.8485274207028011</v>
      </c>
    </row>
    <row r="107" spans="1:8" ht="12" customHeight="1">
      <c r="A107" s="82"/>
      <c r="B107" s="4">
        <v>500</v>
      </c>
      <c r="C107" s="5" t="s">
        <v>130</v>
      </c>
      <c r="D107" s="2" t="s">
        <v>127</v>
      </c>
      <c r="E107" s="6">
        <f t="shared" si="11"/>
        <v>8.48527420702801</v>
      </c>
      <c r="F107" s="6">
        <f t="shared" si="11"/>
        <v>8.519215303856122</v>
      </c>
      <c r="G107" s="6">
        <f t="shared" si="11"/>
        <v>1.2070302559497343</v>
      </c>
      <c r="H107" s="6">
        <f t="shared" si="11"/>
        <v>1.0606592758785012</v>
      </c>
    </row>
    <row r="108" spans="1:8" ht="12" customHeight="1">
      <c r="A108" s="82"/>
      <c r="B108" s="4">
        <v>700</v>
      </c>
      <c r="C108" s="5" t="s">
        <v>130</v>
      </c>
      <c r="D108" s="2" t="s">
        <v>127</v>
      </c>
      <c r="E108" s="6">
        <f t="shared" si="11"/>
        <v>11.879383889839213</v>
      </c>
      <c r="F108" s="6">
        <f t="shared" si="11"/>
        <v>11.92690142539857</v>
      </c>
      <c r="G108" s="6">
        <f t="shared" si="11"/>
        <v>1.689842358329628</v>
      </c>
      <c r="H108" s="6">
        <f t="shared" si="11"/>
        <v>1.4849229862299016</v>
      </c>
    </row>
    <row r="109" spans="1:8" ht="12" customHeight="1">
      <c r="A109" s="82"/>
      <c r="B109" s="4">
        <v>1000</v>
      </c>
      <c r="C109" s="5" t="s">
        <v>130</v>
      </c>
      <c r="D109" s="2" t="s">
        <v>127</v>
      </c>
      <c r="E109" s="6">
        <f t="shared" si="11"/>
        <v>16.97054841405602</v>
      </c>
      <c r="F109" s="6">
        <f t="shared" si="11"/>
        <v>17.038430607712243</v>
      </c>
      <c r="G109" s="6">
        <f t="shared" si="11"/>
        <v>2.4140605118994687</v>
      </c>
      <c r="H109" s="6">
        <f t="shared" si="11"/>
        <v>2.1213185517570023</v>
      </c>
    </row>
    <row r="110" spans="1:8" ht="12" customHeight="1">
      <c r="A110" s="82"/>
      <c r="B110" s="4">
        <v>1500</v>
      </c>
      <c r="C110" s="5" t="s">
        <v>130</v>
      </c>
      <c r="D110" s="2" t="s">
        <v>127</v>
      </c>
      <c r="E110" s="6">
        <f t="shared" si="11"/>
        <v>25.455822621084035</v>
      </c>
      <c r="F110" s="6">
        <f t="shared" si="11"/>
        <v>25.557645911568365</v>
      </c>
      <c r="G110" s="6">
        <f t="shared" si="11"/>
        <v>3.6210907678492035</v>
      </c>
      <c r="H110" s="6">
        <f t="shared" si="11"/>
        <v>3.1819778276355044</v>
      </c>
    </row>
    <row r="111" spans="1:8" ht="12" customHeight="1">
      <c r="A111" s="82"/>
      <c r="B111" s="4">
        <v>2000</v>
      </c>
      <c r="C111" s="5" t="s">
        <v>130</v>
      </c>
      <c r="D111" s="2" t="s">
        <v>127</v>
      </c>
      <c r="E111" s="6">
        <f t="shared" si="11"/>
        <v>33.94109682811204</v>
      </c>
      <c r="F111" s="6">
        <f t="shared" si="11"/>
        <v>34.076861215424486</v>
      </c>
      <c r="G111" s="6">
        <f t="shared" si="11"/>
        <v>4.828121023798937</v>
      </c>
      <c r="H111" s="6">
        <f t="shared" si="11"/>
        <v>4.242637103514005</v>
      </c>
    </row>
    <row r="112" spans="1:8" ht="12" customHeight="1">
      <c r="A112" s="82"/>
      <c r="B112" s="4">
        <v>3000</v>
      </c>
      <c r="C112" s="5" t="s">
        <v>130</v>
      </c>
      <c r="D112" s="2" t="s">
        <v>127</v>
      </c>
      <c r="E112" s="6">
        <f t="shared" si="11"/>
        <v>50.91164524216807</v>
      </c>
      <c r="F112" s="6">
        <f t="shared" si="11"/>
        <v>51.11529182313673</v>
      </c>
      <c r="G112" s="6">
        <f t="shared" si="11"/>
        <v>7.242181535698407</v>
      </c>
      <c r="H112" s="6">
        <f t="shared" si="11"/>
        <v>6.363955655271009</v>
      </c>
    </row>
    <row r="113" spans="1:8" ht="12" customHeight="1">
      <c r="A113" s="82"/>
      <c r="B113" s="4">
        <v>4000</v>
      </c>
      <c r="C113" s="5" t="s">
        <v>130</v>
      </c>
      <c r="D113" s="2" t="s">
        <v>127</v>
      </c>
      <c r="E113" s="6">
        <f t="shared" si="11"/>
        <v>67.88219365622408</v>
      </c>
      <c r="F113" s="6">
        <f t="shared" si="11"/>
        <v>68.15372243084897</v>
      </c>
      <c r="G113" s="6">
        <f t="shared" si="11"/>
        <v>9.656242047597875</v>
      </c>
      <c r="H113" s="6">
        <f t="shared" si="11"/>
        <v>8.48527420702801</v>
      </c>
    </row>
    <row r="114" spans="1:8" ht="12" customHeight="1">
      <c r="A114" s="82"/>
      <c r="B114" s="4">
        <v>5000</v>
      </c>
      <c r="C114" s="5" t="s">
        <v>130</v>
      </c>
      <c r="D114" s="2" t="s">
        <v>127</v>
      </c>
      <c r="E114" s="6">
        <f t="shared" si="11"/>
        <v>84.8527420702801</v>
      </c>
      <c r="F114" s="6">
        <f t="shared" si="11"/>
        <v>85.19215303856122</v>
      </c>
      <c r="G114" s="6">
        <f t="shared" si="11"/>
        <v>12.070302559497343</v>
      </c>
      <c r="H114" s="6">
        <f t="shared" si="11"/>
        <v>10.606592758785013</v>
      </c>
    </row>
    <row r="115" spans="1:8" ht="12" customHeight="1">
      <c r="A115" s="82"/>
      <c r="B115" s="4">
        <v>7000</v>
      </c>
      <c r="C115" s="5" t="s">
        <v>130</v>
      </c>
      <c r="D115" s="2" t="s">
        <v>127</v>
      </c>
      <c r="E115" s="6">
        <f t="shared" si="11"/>
        <v>118.79383889839214</v>
      </c>
      <c r="F115" s="6">
        <f t="shared" si="11"/>
        <v>119.26901425398569</v>
      </c>
      <c r="G115" s="6">
        <f t="shared" si="11"/>
        <v>16.89842358329628</v>
      </c>
      <c r="H115" s="6">
        <f t="shared" si="11"/>
        <v>14.849229862299017</v>
      </c>
    </row>
    <row r="116" spans="1:8" ht="12" customHeight="1">
      <c r="A116" s="82"/>
      <c r="B116" s="4">
        <v>10000</v>
      </c>
      <c r="C116" s="5" t="s">
        <v>130</v>
      </c>
      <c r="D116" s="2" t="s">
        <v>127</v>
      </c>
      <c r="E116" s="6">
        <f t="shared" si="11"/>
        <v>169.7054841405602</v>
      </c>
      <c r="F116" s="6">
        <f t="shared" si="11"/>
        <v>170.38430607712243</v>
      </c>
      <c r="G116" s="6">
        <f t="shared" si="11"/>
        <v>24.140605118994685</v>
      </c>
      <c r="H116" s="6">
        <f t="shared" si="11"/>
        <v>21.213185517570025</v>
      </c>
    </row>
    <row r="117" spans="1:8" ht="12" customHeight="1">
      <c r="A117" s="82"/>
      <c r="B117" s="4">
        <v>15000</v>
      </c>
      <c r="C117" s="5" t="s">
        <v>130</v>
      </c>
      <c r="D117" s="2" t="s">
        <v>127</v>
      </c>
      <c r="E117" s="6">
        <f t="shared" si="11"/>
        <v>254.5582262108403</v>
      </c>
      <c r="F117" s="6">
        <f t="shared" si="11"/>
        <v>255.57645911568366</v>
      </c>
      <c r="G117" s="6">
        <f t="shared" si="11"/>
        <v>36.210907678492035</v>
      </c>
      <c r="H117" s="6">
        <f t="shared" si="11"/>
        <v>31.819778276355038</v>
      </c>
    </row>
    <row r="118" spans="1:8" ht="12" customHeight="1">
      <c r="A118" s="83"/>
      <c r="B118" s="4">
        <v>20000</v>
      </c>
      <c r="C118" s="5" t="s">
        <v>130</v>
      </c>
      <c r="D118" s="2" t="s">
        <v>127</v>
      </c>
      <c r="E118" s="6">
        <f t="shared" si="11"/>
        <v>339.4109682811204</v>
      </c>
      <c r="F118" s="6">
        <f t="shared" si="11"/>
        <v>340.76861215424486</v>
      </c>
      <c r="G118" s="6">
        <f t="shared" si="11"/>
        <v>48.28121023798937</v>
      </c>
      <c r="H118" s="6">
        <f t="shared" si="11"/>
        <v>42.42637103514005</v>
      </c>
    </row>
    <row r="119" spans="1:13" ht="12" customHeight="1">
      <c r="A119" s="81" t="s">
        <v>119</v>
      </c>
      <c r="B119" s="4">
        <v>20</v>
      </c>
      <c r="C119" s="5" t="s">
        <v>130</v>
      </c>
      <c r="D119" s="2" t="s">
        <v>127</v>
      </c>
      <c r="E119" s="6">
        <f aca="true" t="shared" si="12" ref="E119:H140">1/(2*3.14159*$B97*E$19/1000000)</f>
        <v>212.13221353637965</v>
      </c>
      <c r="F119" s="6">
        <f t="shared" si="12"/>
        <v>211.28706527527856</v>
      </c>
      <c r="G119" s="6">
        <f t="shared" si="12"/>
        <v>1491.2633640518782</v>
      </c>
      <c r="H119" s="6">
        <f t="shared" si="12"/>
        <v>1697.0577082910372</v>
      </c>
      <c r="J119" s="10"/>
      <c r="K119" s="10"/>
      <c r="L119" s="10"/>
      <c r="M119" s="10"/>
    </row>
    <row r="120" spans="1:8" ht="12" customHeight="1">
      <c r="A120" s="82"/>
      <c r="B120" s="4">
        <v>30</v>
      </c>
      <c r="C120" s="5" t="s">
        <v>130</v>
      </c>
      <c r="D120" s="2" t="s">
        <v>127</v>
      </c>
      <c r="E120" s="6">
        <f t="shared" si="12"/>
        <v>141.42147569091975</v>
      </c>
      <c r="F120" s="6">
        <f t="shared" si="12"/>
        <v>140.85804351685238</v>
      </c>
      <c r="G120" s="6">
        <f t="shared" si="12"/>
        <v>994.1755760345856</v>
      </c>
      <c r="H120" s="6">
        <f t="shared" si="12"/>
        <v>1131.371805527358</v>
      </c>
    </row>
    <row r="121" spans="1:8" ht="12" customHeight="1">
      <c r="A121" s="82"/>
      <c r="B121" s="4">
        <v>40</v>
      </c>
      <c r="C121" s="5" t="s">
        <v>130</v>
      </c>
      <c r="D121" s="2" t="s">
        <v>127</v>
      </c>
      <c r="E121" s="6">
        <f t="shared" si="12"/>
        <v>106.06610676818983</v>
      </c>
      <c r="F121" s="6">
        <f t="shared" si="12"/>
        <v>105.64353263763928</v>
      </c>
      <c r="G121" s="6">
        <f t="shared" si="12"/>
        <v>745.6316820259391</v>
      </c>
      <c r="H121" s="6">
        <f t="shared" si="12"/>
        <v>848.5288541455186</v>
      </c>
    </row>
    <row r="122" spans="1:8" ht="12" customHeight="1">
      <c r="A122" s="82"/>
      <c r="B122" s="4">
        <v>50</v>
      </c>
      <c r="C122" s="5" t="s">
        <v>130</v>
      </c>
      <c r="D122" s="2" t="s">
        <v>127</v>
      </c>
      <c r="E122" s="6">
        <f t="shared" si="12"/>
        <v>84.85288541455186</v>
      </c>
      <c r="F122" s="6">
        <f t="shared" si="12"/>
        <v>84.51482611011143</v>
      </c>
      <c r="G122" s="6">
        <f t="shared" si="12"/>
        <v>596.5053456207513</v>
      </c>
      <c r="H122" s="6">
        <f t="shared" si="12"/>
        <v>678.8230833164149</v>
      </c>
    </row>
    <row r="123" spans="1:8" ht="12" customHeight="1">
      <c r="A123" s="82"/>
      <c r="B123" s="4">
        <v>70</v>
      </c>
      <c r="C123" s="5" t="s">
        <v>130</v>
      </c>
      <c r="D123" s="2" t="s">
        <v>127</v>
      </c>
      <c r="E123" s="6">
        <f t="shared" si="12"/>
        <v>60.60920386753705</v>
      </c>
      <c r="F123" s="6">
        <f t="shared" si="12"/>
        <v>60.367732935793875</v>
      </c>
      <c r="G123" s="6">
        <f t="shared" si="12"/>
        <v>426.07524687196525</v>
      </c>
      <c r="H123" s="6">
        <f t="shared" si="12"/>
        <v>484.8736309402964</v>
      </c>
    </row>
    <row r="124" spans="1:8" ht="12" customHeight="1">
      <c r="A124" s="82"/>
      <c r="B124" s="4">
        <v>100</v>
      </c>
      <c r="C124" s="5" t="s">
        <v>130</v>
      </c>
      <c r="D124" s="2" t="s">
        <v>127</v>
      </c>
      <c r="E124" s="6">
        <f t="shared" si="12"/>
        <v>42.42644270727593</v>
      </c>
      <c r="F124" s="6">
        <f t="shared" si="12"/>
        <v>42.257413055055714</v>
      </c>
      <c r="G124" s="6">
        <f t="shared" si="12"/>
        <v>298.25267281037566</v>
      </c>
      <c r="H124" s="6">
        <f t="shared" si="12"/>
        <v>339.41154165820745</v>
      </c>
    </row>
    <row r="125" spans="1:8" ht="12" customHeight="1">
      <c r="A125" s="82"/>
      <c r="B125" s="4">
        <v>150</v>
      </c>
      <c r="C125" s="5" t="s">
        <v>130</v>
      </c>
      <c r="D125" s="2" t="s">
        <v>127</v>
      </c>
      <c r="E125" s="6">
        <f t="shared" si="12"/>
        <v>28.284295138183953</v>
      </c>
      <c r="F125" s="6">
        <f t="shared" si="12"/>
        <v>28.171608703370474</v>
      </c>
      <c r="G125" s="6">
        <f t="shared" si="12"/>
        <v>198.8351152069171</v>
      </c>
      <c r="H125" s="6">
        <f t="shared" si="12"/>
        <v>226.27436110547163</v>
      </c>
    </row>
    <row r="126" spans="1:8" ht="12" customHeight="1">
      <c r="A126" s="82"/>
      <c r="B126" s="4">
        <v>200</v>
      </c>
      <c r="C126" s="5" t="s">
        <v>130</v>
      </c>
      <c r="D126" s="2" t="s">
        <v>127</v>
      </c>
      <c r="E126" s="6">
        <f t="shared" si="12"/>
        <v>21.213221353637966</v>
      </c>
      <c r="F126" s="6">
        <f t="shared" si="12"/>
        <v>21.128706527527857</v>
      </c>
      <c r="G126" s="6">
        <f t="shared" si="12"/>
        <v>149.12633640518783</v>
      </c>
      <c r="H126" s="6">
        <f t="shared" si="12"/>
        <v>169.70577082910373</v>
      </c>
    </row>
    <row r="127" spans="1:8" ht="12" customHeight="1">
      <c r="A127" s="82"/>
      <c r="B127" s="4">
        <v>300</v>
      </c>
      <c r="C127" s="5" t="s">
        <v>130</v>
      </c>
      <c r="D127" s="2" t="s">
        <v>127</v>
      </c>
      <c r="E127" s="6">
        <f t="shared" si="12"/>
        <v>14.142147569091977</v>
      </c>
      <c r="F127" s="6">
        <f t="shared" si="12"/>
        <v>14.085804351685237</v>
      </c>
      <c r="G127" s="6">
        <f t="shared" si="12"/>
        <v>99.41755760345855</v>
      </c>
      <c r="H127" s="6">
        <f t="shared" si="12"/>
        <v>113.13718055273581</v>
      </c>
    </row>
    <row r="128" spans="1:8" ht="12" customHeight="1">
      <c r="A128" s="82"/>
      <c r="B128" s="4">
        <v>400</v>
      </c>
      <c r="C128" s="5" t="s">
        <v>130</v>
      </c>
      <c r="D128" s="2" t="s">
        <v>127</v>
      </c>
      <c r="E128" s="6">
        <f t="shared" si="12"/>
        <v>10.606610676818983</v>
      </c>
      <c r="F128" s="6">
        <f t="shared" si="12"/>
        <v>10.564353263763929</v>
      </c>
      <c r="G128" s="6">
        <f t="shared" si="12"/>
        <v>74.56316820259391</v>
      </c>
      <c r="H128" s="6">
        <f t="shared" si="12"/>
        <v>84.85288541455186</v>
      </c>
    </row>
    <row r="129" spans="1:8" ht="12" customHeight="1">
      <c r="A129" s="82"/>
      <c r="B129" s="4">
        <v>500</v>
      </c>
      <c r="C129" s="5" t="s">
        <v>130</v>
      </c>
      <c r="D129" s="2" t="s">
        <v>127</v>
      </c>
      <c r="E129" s="6">
        <f t="shared" si="12"/>
        <v>8.485288541455187</v>
      </c>
      <c r="F129" s="6">
        <f t="shared" si="12"/>
        <v>8.451482611011143</v>
      </c>
      <c r="G129" s="6">
        <f t="shared" si="12"/>
        <v>59.65053456207513</v>
      </c>
      <c r="H129" s="6">
        <f t="shared" si="12"/>
        <v>67.8823083316415</v>
      </c>
    </row>
    <row r="130" spans="1:8" ht="12" customHeight="1">
      <c r="A130" s="82"/>
      <c r="B130" s="4">
        <v>700</v>
      </c>
      <c r="C130" s="5" t="s">
        <v>130</v>
      </c>
      <c r="D130" s="2" t="s">
        <v>127</v>
      </c>
      <c r="E130" s="6">
        <f t="shared" si="12"/>
        <v>6.060920386753705</v>
      </c>
      <c r="F130" s="6">
        <f t="shared" si="12"/>
        <v>6.036773293579388</v>
      </c>
      <c r="G130" s="6">
        <f t="shared" si="12"/>
        <v>42.60752468719652</v>
      </c>
      <c r="H130" s="6">
        <f t="shared" si="12"/>
        <v>48.48736309402964</v>
      </c>
    </row>
    <row r="131" spans="1:8" ht="12" customHeight="1">
      <c r="A131" s="82"/>
      <c r="B131" s="4">
        <v>1000</v>
      </c>
      <c r="C131" s="5" t="s">
        <v>130</v>
      </c>
      <c r="D131" s="2" t="s">
        <v>127</v>
      </c>
      <c r="E131" s="6">
        <f t="shared" si="12"/>
        <v>4.2426442707275935</v>
      </c>
      <c r="F131" s="6">
        <f t="shared" si="12"/>
        <v>4.225741305505571</v>
      </c>
      <c r="G131" s="6">
        <f t="shared" si="12"/>
        <v>29.825267281037565</v>
      </c>
      <c r="H131" s="6">
        <f t="shared" si="12"/>
        <v>33.94115416582075</v>
      </c>
    </row>
    <row r="132" spans="1:8" ht="12" customHeight="1">
      <c r="A132" s="82"/>
      <c r="B132" s="4">
        <v>1500</v>
      </c>
      <c r="C132" s="5" t="s">
        <v>130</v>
      </c>
      <c r="D132" s="2" t="s">
        <v>127</v>
      </c>
      <c r="E132" s="6">
        <f t="shared" si="12"/>
        <v>2.828429513818395</v>
      </c>
      <c r="F132" s="6">
        <f t="shared" si="12"/>
        <v>2.817160870337047</v>
      </c>
      <c r="G132" s="6">
        <f t="shared" si="12"/>
        <v>19.88351152069171</v>
      </c>
      <c r="H132" s="6">
        <f t="shared" si="12"/>
        <v>22.62743611054716</v>
      </c>
    </row>
    <row r="133" spans="1:8" ht="12" customHeight="1">
      <c r="A133" s="82"/>
      <c r="B133" s="4">
        <v>2000</v>
      </c>
      <c r="C133" s="5" t="s">
        <v>130</v>
      </c>
      <c r="D133" s="2" t="s">
        <v>127</v>
      </c>
      <c r="E133" s="6">
        <f t="shared" si="12"/>
        <v>2.1213221353637968</v>
      </c>
      <c r="F133" s="6">
        <f t="shared" si="12"/>
        <v>2.1128706527527856</v>
      </c>
      <c r="G133" s="6">
        <f t="shared" si="12"/>
        <v>14.912633640518782</v>
      </c>
      <c r="H133" s="6">
        <f t="shared" si="12"/>
        <v>16.970577082910374</v>
      </c>
    </row>
    <row r="134" spans="1:8" ht="12" customHeight="1">
      <c r="A134" s="82"/>
      <c r="B134" s="4">
        <v>3000</v>
      </c>
      <c r="C134" s="5" t="s">
        <v>130</v>
      </c>
      <c r="D134" s="2" t="s">
        <v>127</v>
      </c>
      <c r="E134" s="6">
        <f t="shared" si="12"/>
        <v>1.4142147569091974</v>
      </c>
      <c r="F134" s="6">
        <f t="shared" si="12"/>
        <v>1.4085804351685236</v>
      </c>
      <c r="G134" s="6">
        <f t="shared" si="12"/>
        <v>9.941755760345854</v>
      </c>
      <c r="H134" s="6">
        <f t="shared" si="12"/>
        <v>11.31371805527358</v>
      </c>
    </row>
    <row r="135" spans="1:8" ht="12" customHeight="1">
      <c r="A135" s="82"/>
      <c r="B135" s="4">
        <v>4000</v>
      </c>
      <c r="C135" s="5" t="s">
        <v>130</v>
      </c>
      <c r="D135" s="2" t="s">
        <v>127</v>
      </c>
      <c r="E135" s="6">
        <f t="shared" si="12"/>
        <v>1.0606610676818984</v>
      </c>
      <c r="F135" s="6">
        <f t="shared" si="12"/>
        <v>1.0564353263763928</v>
      </c>
      <c r="G135" s="6">
        <f t="shared" si="12"/>
        <v>7.456316820259391</v>
      </c>
      <c r="H135" s="6">
        <f t="shared" si="12"/>
        <v>8.485288541455187</v>
      </c>
    </row>
    <row r="136" spans="1:8" ht="12" customHeight="1">
      <c r="A136" s="82"/>
      <c r="B136" s="4">
        <v>5000</v>
      </c>
      <c r="C136" s="5" t="s">
        <v>130</v>
      </c>
      <c r="D136" s="2" t="s">
        <v>127</v>
      </c>
      <c r="E136" s="6">
        <f t="shared" si="12"/>
        <v>0.8485288541455186</v>
      </c>
      <c r="F136" s="6">
        <f t="shared" si="12"/>
        <v>0.8451482611011142</v>
      </c>
      <c r="G136" s="6">
        <f t="shared" si="12"/>
        <v>5.965053456207514</v>
      </c>
      <c r="H136" s="6">
        <f t="shared" si="12"/>
        <v>6.788230833164149</v>
      </c>
    </row>
    <row r="137" spans="1:8" ht="12" customHeight="1">
      <c r="A137" s="82"/>
      <c r="B137" s="4">
        <v>7000</v>
      </c>
      <c r="C137" s="5" t="s">
        <v>130</v>
      </c>
      <c r="D137" s="2" t="s">
        <v>127</v>
      </c>
      <c r="E137" s="6">
        <f t="shared" si="12"/>
        <v>0.6060920386753704</v>
      </c>
      <c r="F137" s="6">
        <f t="shared" si="12"/>
        <v>0.6036773293579387</v>
      </c>
      <c r="G137" s="6">
        <f t="shared" si="12"/>
        <v>4.2607524687196525</v>
      </c>
      <c r="H137" s="6">
        <f t="shared" si="12"/>
        <v>4.848736309402963</v>
      </c>
    </row>
    <row r="138" spans="1:8" ht="12" customHeight="1">
      <c r="A138" s="82"/>
      <c r="B138" s="4">
        <v>10000</v>
      </c>
      <c r="C138" s="5" t="s">
        <v>130</v>
      </c>
      <c r="D138" s="2" t="s">
        <v>127</v>
      </c>
      <c r="E138" s="6">
        <f t="shared" si="12"/>
        <v>0.4242644270727593</v>
      </c>
      <c r="F138" s="6">
        <f t="shared" si="12"/>
        <v>0.4225741305505571</v>
      </c>
      <c r="G138" s="6">
        <f t="shared" si="12"/>
        <v>2.982526728103757</v>
      </c>
      <c r="H138" s="6">
        <f t="shared" si="12"/>
        <v>3.3941154165820744</v>
      </c>
    </row>
    <row r="139" spans="1:8" ht="12" customHeight="1">
      <c r="A139" s="82"/>
      <c r="B139" s="4">
        <v>15000</v>
      </c>
      <c r="C139" s="5" t="s">
        <v>130</v>
      </c>
      <c r="D139" s="2" t="s">
        <v>127</v>
      </c>
      <c r="E139" s="6">
        <f t="shared" si="12"/>
        <v>0.2828429513818395</v>
      </c>
      <c r="F139" s="6">
        <f t="shared" si="12"/>
        <v>0.2817160870337047</v>
      </c>
      <c r="G139" s="6">
        <f t="shared" si="12"/>
        <v>1.9883511520691712</v>
      </c>
      <c r="H139" s="6">
        <f t="shared" si="12"/>
        <v>2.262743611054716</v>
      </c>
    </row>
    <row r="140" spans="1:8" ht="12" customHeight="1">
      <c r="A140" s="83"/>
      <c r="B140" s="4">
        <v>20000</v>
      </c>
      <c r="C140" s="5" t="s">
        <v>130</v>
      </c>
      <c r="D140" s="2" t="s">
        <v>127</v>
      </c>
      <c r="E140" s="6">
        <f t="shared" si="12"/>
        <v>0.21213221353637965</v>
      </c>
      <c r="F140" s="6">
        <f t="shared" si="12"/>
        <v>0.21128706527527855</v>
      </c>
      <c r="G140" s="6">
        <f t="shared" si="12"/>
        <v>1.4912633640518784</v>
      </c>
      <c r="H140" s="6">
        <f t="shared" si="12"/>
        <v>1.6970577082910372</v>
      </c>
    </row>
    <row r="141" spans="1:13" ht="12" customHeight="1">
      <c r="A141" s="81" t="s">
        <v>120</v>
      </c>
      <c r="B141" s="4">
        <v>20</v>
      </c>
      <c r="C141" s="5" t="s">
        <v>130</v>
      </c>
      <c r="D141" s="67" t="s">
        <v>126</v>
      </c>
      <c r="E141" s="6">
        <f aca="true" t="shared" si="13" ref="E141:E162">F97^2*F141/(F97^2*F119^2*F141^2+(F97-F119*(1-F97*F163))^2)</f>
        <v>4.333340583023929E-07</v>
      </c>
      <c r="F141" s="7">
        <f aca="true" t="shared" si="14" ref="F141:F162">G119^2*F$28/(G97^2*G119^2+F$28^2*(G97-G119)^2)</f>
        <v>0.1666666664919653</v>
      </c>
      <c r="G141" s="7"/>
      <c r="H141" s="6">
        <f aca="true" t="shared" si="15" ref="H141:H162">(E119^2*E$28/(E97^2*E119^2+E$28^2*(E97-E119)^2))+E141+(H97^2*G$28/(H97^2*H119^2+G$28^2*(H97-H119)^2))</f>
        <v>0.16666667344075844</v>
      </c>
      <c r="J141" s="10"/>
      <c r="K141" s="10"/>
      <c r="L141" s="10"/>
      <c r="M141" s="10"/>
    </row>
    <row r="142" spans="1:8" ht="12" customHeight="1">
      <c r="A142" s="82"/>
      <c r="B142" s="4">
        <v>30</v>
      </c>
      <c r="C142" s="5" t="s">
        <v>130</v>
      </c>
      <c r="D142" s="67" t="s">
        <v>126</v>
      </c>
      <c r="E142" s="6">
        <f t="shared" si="13"/>
        <v>2.19248453182397E-06</v>
      </c>
      <c r="F142" s="7">
        <f t="shared" si="14"/>
        <v>0.1666666657822409</v>
      </c>
      <c r="G142" s="7"/>
      <c r="H142" s="6">
        <f t="shared" si="15"/>
        <v>0.1666666997138314</v>
      </c>
    </row>
    <row r="143" spans="1:8" ht="12" customHeight="1">
      <c r="A143" s="82"/>
      <c r="B143" s="4">
        <v>40</v>
      </c>
      <c r="C143" s="5" t="s">
        <v>130</v>
      </c>
      <c r="D143" s="67" t="s">
        <v>126</v>
      </c>
      <c r="E143" s="6">
        <f t="shared" si="13"/>
        <v>6.923655978264309E-06</v>
      </c>
      <c r="F143" s="7">
        <f t="shared" si="14"/>
        <v>0.16666666387144455</v>
      </c>
      <c r="G143" s="7"/>
      <c r="H143" s="6">
        <f t="shared" si="15"/>
        <v>0.16666676562531116</v>
      </c>
    </row>
    <row r="144" spans="1:8" ht="12" customHeight="1">
      <c r="A144" s="82"/>
      <c r="B144" s="4">
        <v>50</v>
      </c>
      <c r="C144" s="5" t="s">
        <v>130</v>
      </c>
      <c r="D144" s="67" t="s">
        <v>126</v>
      </c>
      <c r="E144" s="6">
        <f t="shared" si="13"/>
        <v>1.6885375104825363E-05</v>
      </c>
      <c r="F144" s="7">
        <f t="shared" si="14"/>
        <v>0.16666665984239404</v>
      </c>
      <c r="G144" s="7"/>
      <c r="H144" s="6">
        <f t="shared" si="15"/>
        <v>0.16666689116690098</v>
      </c>
    </row>
    <row r="145" spans="1:8" ht="12" customHeight="1">
      <c r="A145" s="82"/>
      <c r="B145" s="4">
        <v>70</v>
      </c>
      <c r="C145" s="5" t="s">
        <v>130</v>
      </c>
      <c r="D145" s="67" t="s">
        <v>126</v>
      </c>
      <c r="E145" s="6">
        <f t="shared" si="13"/>
        <v>6.467619774749807E-05</v>
      </c>
      <c r="F145" s="7">
        <f t="shared" si="14"/>
        <v>0.1666666404505442</v>
      </c>
      <c r="G145" s="7"/>
      <c r="H145" s="6">
        <f t="shared" si="15"/>
        <v>0.1666673566324002</v>
      </c>
    </row>
    <row r="146" spans="1:8" ht="12" customHeight="1">
      <c r="A146" s="82"/>
      <c r="B146" s="4">
        <v>100</v>
      </c>
      <c r="C146" s="5" t="s">
        <v>130</v>
      </c>
      <c r="D146" s="67" t="s">
        <v>126</v>
      </c>
      <c r="E146" s="6">
        <f t="shared" si="13"/>
        <v>0.00026757786062080863</v>
      </c>
      <c r="F146" s="7">
        <f t="shared" si="14"/>
        <v>0.16666655747837256</v>
      </c>
      <c r="G146" s="7"/>
      <c r="H146" s="6">
        <f t="shared" si="15"/>
        <v>0.16666806984773005</v>
      </c>
    </row>
    <row r="147" spans="1:8" ht="12" customHeight="1">
      <c r="A147" s="82"/>
      <c r="B147" s="4">
        <v>150</v>
      </c>
      <c r="C147" s="5" t="s">
        <v>130</v>
      </c>
      <c r="D147" s="67" t="s">
        <v>126</v>
      </c>
      <c r="E147" s="6">
        <f t="shared" si="13"/>
        <v>0.0013294281568655135</v>
      </c>
      <c r="F147" s="7">
        <f t="shared" si="14"/>
        <v>0.16666611390239916</v>
      </c>
      <c r="G147" s="7"/>
      <c r="H147" s="6">
        <f t="shared" si="15"/>
        <v>0.16665727603796762</v>
      </c>
    </row>
    <row r="148" spans="1:8" ht="12" customHeight="1">
      <c r="A148" s="82"/>
      <c r="B148" s="4">
        <v>200</v>
      </c>
      <c r="C148" s="5" t="s">
        <v>130</v>
      </c>
      <c r="D148" s="67" t="s">
        <v>126</v>
      </c>
      <c r="E148" s="6">
        <f t="shared" si="13"/>
        <v>0.004070744431612394</v>
      </c>
      <c r="F148" s="7">
        <f t="shared" si="14"/>
        <v>0.16666491967112934</v>
      </c>
      <c r="G148" s="7"/>
      <c r="H148" s="6">
        <f t="shared" si="15"/>
        <v>0.16657830005316643</v>
      </c>
    </row>
    <row r="149" spans="1:8" ht="12" customHeight="1">
      <c r="A149" s="82"/>
      <c r="B149" s="4">
        <v>300</v>
      </c>
      <c r="C149" s="5" t="s">
        <v>130</v>
      </c>
      <c r="D149" s="67" t="s">
        <v>126</v>
      </c>
      <c r="E149" s="6">
        <f t="shared" si="13"/>
        <v>0.018284458252839923</v>
      </c>
      <c r="F149" s="7">
        <f t="shared" si="14"/>
        <v>0.16665782287835426</v>
      </c>
      <c r="G149" s="7"/>
      <c r="H149" s="6">
        <f t="shared" si="15"/>
        <v>0.16583464233484208</v>
      </c>
    </row>
    <row r="150" spans="1:8" ht="12" customHeight="1">
      <c r="A150" s="82"/>
      <c r="B150" s="4">
        <v>400</v>
      </c>
      <c r="C150" s="5" t="s">
        <v>130</v>
      </c>
      <c r="D150" s="67" t="s">
        <v>126</v>
      </c>
      <c r="E150" s="6">
        <f t="shared" si="13"/>
        <v>0.046545100708622666</v>
      </c>
      <c r="F150" s="7">
        <f t="shared" si="14"/>
        <v>0.16663871913224956</v>
      </c>
      <c r="G150" s="7"/>
      <c r="H150" s="6">
        <f t="shared" si="15"/>
        <v>0.16479873379542212</v>
      </c>
    </row>
    <row r="151" spans="1:8" ht="12" customHeight="1">
      <c r="A151" s="82"/>
      <c r="B151" s="4">
        <v>500</v>
      </c>
      <c r="C151" s="5" t="s">
        <v>130</v>
      </c>
      <c r="D151" s="67" t="s">
        <v>126</v>
      </c>
      <c r="E151" s="6">
        <f t="shared" si="13"/>
        <v>0.0832526734799587</v>
      </c>
      <c r="F151" s="7">
        <f t="shared" si="14"/>
        <v>0.1665984518691561</v>
      </c>
      <c r="G151" s="7"/>
      <c r="H151" s="6">
        <f t="shared" si="15"/>
        <v>0.1666268276257357</v>
      </c>
    </row>
    <row r="152" spans="1:8" ht="12" customHeight="1">
      <c r="A152" s="82"/>
      <c r="B152" s="4">
        <v>700</v>
      </c>
      <c r="C152" s="5" t="s">
        <v>130</v>
      </c>
      <c r="D152" s="67" t="s">
        <v>126</v>
      </c>
      <c r="E152" s="6">
        <f t="shared" si="13"/>
        <v>0.14734243367192615</v>
      </c>
      <c r="F152" s="7">
        <f t="shared" si="14"/>
        <v>0.166404917124432</v>
      </c>
      <c r="G152" s="7"/>
      <c r="H152" s="6">
        <f t="shared" si="15"/>
        <v>0.18192257597641745</v>
      </c>
    </row>
    <row r="153" spans="1:8" ht="12" customHeight="1">
      <c r="A153" s="82"/>
      <c r="B153" s="4" t="s">
        <v>1</v>
      </c>
      <c r="C153" s="5" t="s">
        <v>130</v>
      </c>
      <c r="D153" s="67" t="s">
        <v>126</v>
      </c>
      <c r="E153" s="6">
        <f t="shared" si="13"/>
        <v>0.1949423914546932</v>
      </c>
      <c r="F153" s="7">
        <f t="shared" si="14"/>
        <v>0.16558188971212448</v>
      </c>
      <c r="G153" s="7"/>
      <c r="H153" s="6">
        <f t="shared" si="15"/>
        <v>0.20539485044702993</v>
      </c>
    </row>
    <row r="154" spans="1:8" ht="12" customHeight="1">
      <c r="A154" s="82"/>
      <c r="B154" s="4" t="s">
        <v>2</v>
      </c>
      <c r="C154" s="5" t="s">
        <v>130</v>
      </c>
      <c r="D154" s="67" t="s">
        <v>126</v>
      </c>
      <c r="E154" s="6">
        <f t="shared" si="13"/>
        <v>0.21917340280245334</v>
      </c>
      <c r="F154" s="7">
        <f t="shared" si="14"/>
        <v>0.16131645073847714</v>
      </c>
      <c r="G154" s="7"/>
      <c r="H154" s="6">
        <f t="shared" si="15"/>
        <v>0.22443790388111418</v>
      </c>
    </row>
    <row r="155" spans="1:8" ht="12" customHeight="1">
      <c r="A155" s="82"/>
      <c r="B155" s="4" t="s">
        <v>3</v>
      </c>
      <c r="C155" s="5" t="s">
        <v>130</v>
      </c>
      <c r="D155" s="67" t="s">
        <v>126</v>
      </c>
      <c r="E155" s="6">
        <f t="shared" si="13"/>
        <v>0.21806661859422605</v>
      </c>
      <c r="F155" s="7">
        <f t="shared" si="14"/>
        <v>0.1508540226570711</v>
      </c>
      <c r="G155" s="7"/>
      <c r="H155" s="6">
        <f t="shared" si="15"/>
        <v>0.22851901960046367</v>
      </c>
    </row>
    <row r="156" spans="1:8" ht="12" customHeight="1">
      <c r="A156" s="82"/>
      <c r="B156" s="4" t="s">
        <v>4</v>
      </c>
      <c r="C156" s="5" t="s">
        <v>130</v>
      </c>
      <c r="D156" s="67" t="s">
        <v>126</v>
      </c>
      <c r="E156" s="6">
        <f t="shared" si="13"/>
        <v>0.15928316913044946</v>
      </c>
      <c r="F156" s="7">
        <f t="shared" si="14"/>
        <v>0.10888581485113694</v>
      </c>
      <c r="G156" s="7"/>
      <c r="H156" s="6">
        <f t="shared" si="15"/>
        <v>0.1994709156005342</v>
      </c>
    </row>
    <row r="157" spans="1:8" ht="12" customHeight="1">
      <c r="A157" s="82"/>
      <c r="B157" s="4" t="s">
        <v>5</v>
      </c>
      <c r="C157" s="5" t="s">
        <v>130</v>
      </c>
      <c r="D157" s="67" t="s">
        <v>126</v>
      </c>
      <c r="E157" s="6">
        <f t="shared" si="13"/>
        <v>0.08310066538659784</v>
      </c>
      <c r="F157" s="7">
        <f t="shared" si="14"/>
        <v>0.06225564746767749</v>
      </c>
      <c r="G157" s="7"/>
      <c r="H157" s="6">
        <f t="shared" si="15"/>
        <v>0.1664745382524558</v>
      </c>
    </row>
    <row r="158" spans="1:8" ht="12" customHeight="1">
      <c r="A158" s="82"/>
      <c r="B158" s="4" t="s">
        <v>6</v>
      </c>
      <c r="C158" s="5" t="s">
        <v>130</v>
      </c>
      <c r="D158" s="67" t="s">
        <v>126</v>
      </c>
      <c r="E158" s="6">
        <f t="shared" si="13"/>
        <v>0.03981869102608596</v>
      </c>
      <c r="F158" s="7">
        <f t="shared" si="14"/>
        <v>0.03271461035050045</v>
      </c>
      <c r="G158" s="7"/>
      <c r="H158" s="6">
        <f t="shared" si="15"/>
        <v>0.1580720920635571</v>
      </c>
    </row>
    <row r="159" spans="1:8" ht="12" customHeight="1">
      <c r="A159" s="82"/>
      <c r="B159" s="4" t="s">
        <v>7</v>
      </c>
      <c r="C159" s="5" t="s">
        <v>130</v>
      </c>
      <c r="D159" s="67" t="s">
        <v>126</v>
      </c>
      <c r="E159" s="6">
        <f t="shared" si="13"/>
        <v>0.010971514155919033</v>
      </c>
      <c r="F159" s="7">
        <f t="shared" si="14"/>
        <v>0.009962336819621947</v>
      </c>
      <c r="G159" s="7"/>
      <c r="H159" s="6">
        <f t="shared" si="15"/>
        <v>0.1615842591516601</v>
      </c>
    </row>
    <row r="160" spans="1:8" ht="12" customHeight="1">
      <c r="A160" s="82"/>
      <c r="B160" s="4" t="s">
        <v>8</v>
      </c>
      <c r="C160" s="5" t="s">
        <v>130</v>
      </c>
      <c r="D160" s="67" t="s">
        <v>126</v>
      </c>
      <c r="E160" s="6">
        <f t="shared" si="13"/>
        <v>0.0026189804994727318</v>
      </c>
      <c r="F160" s="7">
        <f t="shared" si="14"/>
        <v>0.0025057750841083965</v>
      </c>
      <c r="G160" s="7"/>
      <c r="H160" s="6">
        <f t="shared" si="15"/>
        <v>0.1651265087182081</v>
      </c>
    </row>
    <row r="161" spans="1:8" ht="12" customHeight="1">
      <c r="A161" s="82"/>
      <c r="B161" s="4" t="s">
        <v>9</v>
      </c>
      <c r="C161" s="5" t="s">
        <v>130</v>
      </c>
      <c r="D161" s="67" t="s">
        <v>126</v>
      </c>
      <c r="E161" s="6">
        <f t="shared" si="13"/>
        <v>0.000510447209099417</v>
      </c>
      <c r="F161" s="7">
        <f t="shared" si="14"/>
        <v>0.0005010125556725673</v>
      </c>
      <c r="G161" s="7"/>
      <c r="H161" s="6">
        <f t="shared" si="15"/>
        <v>0.16633875887618618</v>
      </c>
    </row>
    <row r="162" spans="1:8" ht="12" customHeight="1">
      <c r="A162" s="83"/>
      <c r="B162" s="4" t="s">
        <v>10</v>
      </c>
      <c r="C162" s="5" t="s">
        <v>130</v>
      </c>
      <c r="D162" s="67" t="s">
        <v>126</v>
      </c>
      <c r="E162" s="6">
        <f t="shared" si="13"/>
        <v>0.00016049141384016783</v>
      </c>
      <c r="F162" s="7">
        <f t="shared" si="14"/>
        <v>0.00015884993011486712</v>
      </c>
      <c r="G162" s="7"/>
      <c r="H162" s="6">
        <f t="shared" si="15"/>
        <v>0.16656098160519145</v>
      </c>
    </row>
    <row r="163" spans="1:13" ht="12" customHeight="1">
      <c r="A163" s="81" t="s">
        <v>121</v>
      </c>
      <c r="B163" s="4">
        <v>20</v>
      </c>
      <c r="C163" s="5" t="s">
        <v>130</v>
      </c>
      <c r="D163" s="67" t="s">
        <v>126</v>
      </c>
      <c r="E163" s="3">
        <f aca="true" t="shared" si="16" ref="E163:E184">(F119*(1-F97*F163)^2-F97*(1-F97*F163)+F97^2*F119*F141^2)/(F97^2*F119^2*F141^2+(F97-F119*(1-F97*F163))^2)</f>
        <v>0.004740516652488081</v>
      </c>
      <c r="F163" s="7">
        <f aca="true" t="shared" si="17" ref="F163:F184">(G119*F$28^2-G97*F$28^2-G97*G119^2)/(G97^2*G119^2+F$28^2*(G97-G119)^2)</f>
        <v>-0.0006705940741948484</v>
      </c>
      <c r="G163" s="7"/>
      <c r="H163" s="3">
        <f aca="true" t="shared" si="18" ref="H163:H184">((E119*E$28^2-E97*E$28^2-E97*E119^2)/(E97^2*E119^2+E$28^2*(E97-E119)^2)+E163+(H119*G$28^2-H97*G$28^2+H97^2*H119)/(H97^2*H119^2+G$28^2*(H97-H119)^2))</f>
        <v>0.000608214944575222</v>
      </c>
      <c r="J163" s="11"/>
      <c r="K163" s="11"/>
      <c r="L163" s="11"/>
      <c r="M163" s="11"/>
    </row>
    <row r="164" spans="1:8" ht="12" customHeight="1">
      <c r="A164" s="82"/>
      <c r="B164" s="4">
        <v>30</v>
      </c>
      <c r="C164" s="5" t="s">
        <v>130</v>
      </c>
      <c r="D164" s="67" t="s">
        <v>126</v>
      </c>
      <c r="E164" s="3">
        <f t="shared" si="16"/>
        <v>0.007125001685183155</v>
      </c>
      <c r="F164" s="7">
        <f t="shared" si="17"/>
        <v>-0.00100593181416097</v>
      </c>
      <c r="G164" s="7"/>
      <c r="H164" s="3">
        <f t="shared" si="18"/>
        <v>0.0009125084811624634</v>
      </c>
    </row>
    <row r="165" spans="1:8" ht="12" customHeight="1">
      <c r="A165" s="82"/>
      <c r="B165" s="4">
        <v>40</v>
      </c>
      <c r="C165" s="5" t="s">
        <v>130</v>
      </c>
      <c r="D165" s="67" t="s">
        <v>126</v>
      </c>
      <c r="E165" s="3">
        <f t="shared" si="16"/>
        <v>0.009526410566294347</v>
      </c>
      <c r="F165" s="7">
        <f t="shared" si="17"/>
        <v>-0.0013413183901873527</v>
      </c>
      <c r="G165" s="7"/>
      <c r="H165" s="3">
        <f t="shared" si="18"/>
        <v>0.0012170052623941498</v>
      </c>
    </row>
    <row r="166" spans="1:8" ht="12" customHeight="1">
      <c r="A166" s="82"/>
      <c r="B166" s="4">
        <v>50</v>
      </c>
      <c r="C166" s="5" t="s">
        <v>130</v>
      </c>
      <c r="D166" s="67" t="s">
        <v>126</v>
      </c>
      <c r="E166" s="3">
        <f t="shared" si="16"/>
        <v>0.011950136653603586</v>
      </c>
      <c r="F166" s="7">
        <f t="shared" si="17"/>
        <v>-0.0016767700686544321</v>
      </c>
      <c r="G166" s="7"/>
      <c r="H166" s="3">
        <f t="shared" si="18"/>
        <v>0.0015217409536731367</v>
      </c>
    </row>
    <row r="167" spans="1:8" ht="12" customHeight="1">
      <c r="A167" s="82"/>
      <c r="B167" s="4">
        <v>70</v>
      </c>
      <c r="C167" s="5" t="s">
        <v>130</v>
      </c>
      <c r="D167" s="67" t="s">
        <v>126</v>
      </c>
      <c r="E167" s="3">
        <f t="shared" si="16"/>
        <v>0.016884986782266638</v>
      </c>
      <c r="F167" s="7">
        <f t="shared" si="17"/>
        <v>-0.002347933743019103</v>
      </c>
      <c r="G167" s="7"/>
      <c r="H167" s="3">
        <f t="shared" si="18"/>
        <v>0.002131944297200761</v>
      </c>
    </row>
    <row r="168" spans="1:8" ht="12" customHeight="1">
      <c r="A168" s="82"/>
      <c r="B168" s="4">
        <v>100</v>
      </c>
      <c r="C168" s="5" t="s">
        <v>130</v>
      </c>
      <c r="D168" s="67" t="s">
        <v>126</v>
      </c>
      <c r="E168" s="3">
        <f t="shared" si="16"/>
        <v>0.024574144605697186</v>
      </c>
      <c r="F168" s="7">
        <f t="shared" si="17"/>
        <v>-0.00335557343390155</v>
      </c>
      <c r="G168" s="7"/>
      <c r="H168" s="3">
        <f t="shared" si="18"/>
        <v>0.003048405891813131</v>
      </c>
    </row>
    <row r="169" spans="1:8" ht="12" customHeight="1">
      <c r="A169" s="82"/>
      <c r="B169" s="4">
        <v>150</v>
      </c>
      <c r="C169" s="5" t="s">
        <v>130</v>
      </c>
      <c r="D169" s="67" t="s">
        <v>126</v>
      </c>
      <c r="E169" s="3">
        <f t="shared" si="16"/>
        <v>0.03837479810533187</v>
      </c>
      <c r="F169" s="7">
        <f t="shared" si="17"/>
        <v>-0.005038435131944986</v>
      </c>
      <c r="G169" s="7"/>
      <c r="H169" s="3">
        <f t="shared" si="18"/>
        <v>0.0045727789730434345</v>
      </c>
    </row>
    <row r="170" spans="1:8" ht="12" customHeight="1">
      <c r="A170" s="82"/>
      <c r="B170" s="4">
        <v>200</v>
      </c>
      <c r="C170" s="5" t="s">
        <v>130</v>
      </c>
      <c r="D170" s="67" t="s">
        <v>126</v>
      </c>
      <c r="E170" s="3">
        <f t="shared" si="16"/>
        <v>0.053504829674841714</v>
      </c>
      <c r="F170" s="7">
        <f t="shared" si="17"/>
        <v>-0.0067273636086322445</v>
      </c>
      <c r="G170" s="7"/>
      <c r="H170" s="3">
        <f t="shared" si="18"/>
        <v>0.006094144583335728</v>
      </c>
    </row>
    <row r="171" spans="1:8" ht="12" customHeight="1">
      <c r="A171" s="82"/>
      <c r="B171" s="4">
        <v>300</v>
      </c>
      <c r="C171" s="5" t="s">
        <v>130</v>
      </c>
      <c r="D171" s="67" t="s">
        <v>126</v>
      </c>
      <c r="E171" s="3">
        <f t="shared" si="16"/>
        <v>0.0857798663769437</v>
      </c>
      <c r="F171" s="7">
        <f t="shared" si="17"/>
        <v>-0.01013132071640909</v>
      </c>
      <c r="G171" s="7"/>
      <c r="H171" s="3">
        <f t="shared" si="18"/>
        <v>0.009534955051519871</v>
      </c>
    </row>
    <row r="172" spans="1:8" ht="12" customHeight="1">
      <c r="A172" s="82"/>
      <c r="B172" s="4">
        <v>400</v>
      </c>
      <c r="C172" s="5" t="s">
        <v>130</v>
      </c>
      <c r="D172" s="67" t="s">
        <v>126</v>
      </c>
      <c r="E172" s="3">
        <f t="shared" si="16"/>
        <v>0.11299570598452</v>
      </c>
      <c r="F172" s="7">
        <f t="shared" si="17"/>
        <v>-0.013582853112821454</v>
      </c>
      <c r="G172" s="7"/>
      <c r="H172" s="3">
        <f t="shared" si="18"/>
        <v>0.01520635018260821</v>
      </c>
    </row>
    <row r="173" spans="1:8" ht="12" customHeight="1">
      <c r="A173" s="82"/>
      <c r="B173" s="4">
        <v>500</v>
      </c>
      <c r="C173" s="5" t="s">
        <v>130</v>
      </c>
      <c r="D173" s="67" t="s">
        <v>126</v>
      </c>
      <c r="E173" s="3">
        <f t="shared" si="16"/>
        <v>0.12639582199914046</v>
      </c>
      <c r="F173" s="7">
        <f t="shared" si="17"/>
        <v>-0.01709653509475048</v>
      </c>
      <c r="G173" s="7"/>
      <c r="H173" s="3">
        <f t="shared" si="18"/>
        <v>0.023502596218758554</v>
      </c>
    </row>
    <row r="174" spans="1:8" ht="12" customHeight="1">
      <c r="A174" s="82"/>
      <c r="B174" s="4">
        <v>700</v>
      </c>
      <c r="C174" s="5" t="s">
        <v>130</v>
      </c>
      <c r="D174" s="67" t="s">
        <v>126</v>
      </c>
      <c r="E174" s="3">
        <f t="shared" si="16"/>
        <v>0.1147871982514246</v>
      </c>
      <c r="F174" s="7">
        <f t="shared" si="17"/>
        <v>-0.024362548139485248</v>
      </c>
      <c r="G174" s="7"/>
      <c r="H174" s="3">
        <f t="shared" si="18"/>
        <v>0.0351521491868308</v>
      </c>
    </row>
    <row r="175" spans="1:8" ht="12" customHeight="1">
      <c r="A175" s="82"/>
      <c r="B175" s="4" t="s">
        <v>1</v>
      </c>
      <c r="C175" s="5" t="s">
        <v>130</v>
      </c>
      <c r="D175" s="67" t="s">
        <v>126</v>
      </c>
      <c r="E175" s="3">
        <f t="shared" si="16"/>
        <v>0.06952767366546848</v>
      </c>
      <c r="F175" s="7">
        <f t="shared" si="17"/>
        <v>-0.036006538670771866</v>
      </c>
      <c r="G175" s="7"/>
      <c r="H175" s="3">
        <f t="shared" si="18"/>
        <v>0.03138578241193559</v>
      </c>
    </row>
    <row r="176" spans="1:8" ht="12" customHeight="1">
      <c r="A176" s="82"/>
      <c r="B176" s="4" t="s">
        <v>2</v>
      </c>
      <c r="C176" s="5" t="s">
        <v>130</v>
      </c>
      <c r="D176" s="67" t="s">
        <v>126</v>
      </c>
      <c r="E176" s="3">
        <f t="shared" si="16"/>
        <v>0.004031444170410543</v>
      </c>
      <c r="F176" s="7">
        <f t="shared" si="17"/>
        <v>-0.05754354920980374</v>
      </c>
      <c r="G176" s="7"/>
      <c r="H176" s="3">
        <f t="shared" si="18"/>
        <v>0.010346539510904439</v>
      </c>
    </row>
    <row r="177" spans="1:8" ht="12" customHeight="1">
      <c r="A177" s="82"/>
      <c r="B177" s="4" t="s">
        <v>3</v>
      </c>
      <c r="C177" s="5" t="s">
        <v>130</v>
      </c>
      <c r="D177" s="67" t="s">
        <v>126</v>
      </c>
      <c r="E177" s="3">
        <f t="shared" si="16"/>
        <v>-0.0523090889327018</v>
      </c>
      <c r="F177" s="7">
        <f t="shared" si="17"/>
        <v>-0.08034580377652405</v>
      </c>
      <c r="G177" s="7"/>
      <c r="H177" s="3">
        <f t="shared" si="18"/>
        <v>-0.014167392134193976</v>
      </c>
    </row>
    <row r="178" spans="1:8" ht="12" customHeight="1">
      <c r="A178" s="82"/>
      <c r="B178" s="4" t="s">
        <v>4</v>
      </c>
      <c r="C178" s="5" t="s">
        <v>130</v>
      </c>
      <c r="D178" s="67" t="s">
        <v>126</v>
      </c>
      <c r="E178" s="3">
        <f t="shared" si="16"/>
        <v>-0.13381515812037262</v>
      </c>
      <c r="F178" s="7">
        <f t="shared" si="17"/>
        <v>-0.113584496182426</v>
      </c>
      <c r="G178" s="7"/>
      <c r="H178" s="3">
        <f t="shared" si="18"/>
        <v>-0.0490751552911769</v>
      </c>
    </row>
    <row r="179" spans="1:8" ht="12" customHeight="1">
      <c r="A179" s="82"/>
      <c r="B179" s="4" t="s">
        <v>5</v>
      </c>
      <c r="C179" s="5" t="s">
        <v>130</v>
      </c>
      <c r="D179" s="67" t="s">
        <v>126</v>
      </c>
      <c r="E179" s="3">
        <f t="shared" si="16"/>
        <v>-0.1438875501625454</v>
      </c>
      <c r="F179" s="7">
        <f t="shared" si="17"/>
        <v>-0.11497310328763884</v>
      </c>
      <c r="G179" s="7"/>
      <c r="H179" s="3">
        <f t="shared" si="18"/>
        <v>-0.040994350403830926</v>
      </c>
    </row>
    <row r="180" spans="1:8" ht="12" customHeight="1">
      <c r="A180" s="82"/>
      <c r="B180" s="4" t="s">
        <v>6</v>
      </c>
      <c r="C180" s="5" t="s">
        <v>130</v>
      </c>
      <c r="D180" s="67" t="s">
        <v>126</v>
      </c>
      <c r="E180" s="3">
        <f t="shared" si="16"/>
        <v>-0.1215564960819189</v>
      </c>
      <c r="F180" s="7">
        <f t="shared" si="17"/>
        <v>-0.09949220179512121</v>
      </c>
      <c r="G180" s="7"/>
      <c r="H180" s="3">
        <f t="shared" si="18"/>
        <v>-0.023767046226055383</v>
      </c>
    </row>
    <row r="181" spans="1:8" ht="12" customHeight="1">
      <c r="A181" s="82"/>
      <c r="B181" s="4" t="s">
        <v>7</v>
      </c>
      <c r="C181" s="5" t="s">
        <v>130</v>
      </c>
      <c r="D181" s="67" t="s">
        <v>126</v>
      </c>
      <c r="E181" s="3">
        <f t="shared" si="16"/>
        <v>-0.08184365960826093</v>
      </c>
      <c r="F181" s="7">
        <f t="shared" si="17"/>
        <v>-0.06966884564269121</v>
      </c>
      <c r="G181" s="7"/>
      <c r="H181" s="3">
        <f t="shared" si="18"/>
        <v>-0.009578229433792912</v>
      </c>
    </row>
    <row r="182" spans="1:8" ht="12" customHeight="1">
      <c r="A182" s="82"/>
      <c r="B182" s="4" t="s">
        <v>8</v>
      </c>
      <c r="C182" s="5" t="s">
        <v>130</v>
      </c>
      <c r="D182" s="67" t="s">
        <v>126</v>
      </c>
      <c r="E182" s="3">
        <f t="shared" si="16"/>
        <v>-0.052863574466804106</v>
      </c>
      <c r="F182" s="7">
        <f t="shared" si="17"/>
        <v>-0.04584209780639995</v>
      </c>
      <c r="G182" s="7"/>
      <c r="H182" s="3">
        <f t="shared" si="18"/>
        <v>-0.005452793478293416</v>
      </c>
    </row>
    <row r="183" spans="1:8" ht="12" customHeight="1">
      <c r="A183" s="82"/>
      <c r="B183" s="4" t="s">
        <v>9</v>
      </c>
      <c r="C183" s="5" t="s">
        <v>130</v>
      </c>
      <c r="D183" s="67" t="s">
        <v>126</v>
      </c>
      <c r="E183" s="3">
        <f t="shared" si="16"/>
        <v>-0.03326633405010681</v>
      </c>
      <c r="F183" s="7">
        <f t="shared" si="17"/>
        <v>-0.02904481576542892</v>
      </c>
      <c r="G183" s="7"/>
      <c r="H183" s="3">
        <f t="shared" si="18"/>
        <v>-0.003706626331710823</v>
      </c>
    </row>
    <row r="184" spans="1:8" ht="12" customHeight="1">
      <c r="A184" s="83"/>
      <c r="B184" s="4" t="s">
        <v>10</v>
      </c>
      <c r="C184" s="5" t="s">
        <v>130</v>
      </c>
      <c r="D184" s="67" t="s">
        <v>126</v>
      </c>
      <c r="E184" s="3">
        <f t="shared" si="16"/>
        <v>-0.0243909642833483</v>
      </c>
      <c r="F184" s="7">
        <f t="shared" si="17"/>
        <v>-0.021331372816637467</v>
      </c>
      <c r="G184" s="7"/>
      <c r="H184" s="3">
        <f t="shared" si="18"/>
        <v>-0.0028651862954440013</v>
      </c>
    </row>
    <row r="185" spans="1:8" ht="12" customHeight="1">
      <c r="A185" s="81" t="s">
        <v>122</v>
      </c>
      <c r="B185" s="4">
        <v>20</v>
      </c>
      <c r="C185" s="5" t="s">
        <v>130</v>
      </c>
      <c r="D185" s="2" t="s">
        <v>125</v>
      </c>
      <c r="E185" s="7">
        <f>IF($H$17=1,SpeakerCorrection1!E56,0)+IF($H$17=2,SpeakerCorrection2!E56,0)+IF($H$17=3,SpeakerCorrection3!E56,0)+IF($H$17=4,SpeakerCorrection4!E56,0)</f>
        <v>0</v>
      </c>
      <c r="F185" s="7">
        <f>IF($H$17=1,SpeakerCorrection1!F56,0)+IF($H$17=2,SpeakerCorrection2!F56,0)+IF($H$17=3,SpeakerCorrection3!F56,0)+IF($H$17=4,SpeakerCorrection4!F56,0)</f>
        <v>0</v>
      </c>
      <c r="G185" s="7">
        <f>IF($H$17=1,SpeakerCorrection1!G56,0)+IF($H$17=2,SpeakerCorrection2!G56,0)+IF($H$17=3,SpeakerCorrection3!G56,0)+IF($H$17=4,SpeakerCorrection4!G56,0)</f>
        <v>0</v>
      </c>
      <c r="H185" s="7">
        <f>IF($H$17=1,SpeakerCorrection1!H56,0)+IF($H$17=2,SpeakerCorrection2!H56,0)+IF($H$17=3,SpeakerCorrection3!H56,0)+IF($H$17=4,SpeakerCorrection4!H56,0)</f>
        <v>0</v>
      </c>
    </row>
    <row r="186" spans="1:8" ht="12" customHeight="1">
      <c r="A186" s="82"/>
      <c r="B186" s="4">
        <v>30</v>
      </c>
      <c r="C186" s="5" t="s">
        <v>130</v>
      </c>
      <c r="D186" s="2" t="s">
        <v>125</v>
      </c>
      <c r="E186" s="7">
        <f>IF($H$17=1,SpeakerCorrection1!E57,0)+IF($H$17=2,SpeakerCorrection2!E57,0)+IF($H$17=3,SpeakerCorrection3!E57,0)+IF($H$17=4,SpeakerCorrection4!E57,0)</f>
        <v>0</v>
      </c>
      <c r="F186" s="7">
        <f>IF($H$17=1,SpeakerCorrection1!F57,0)+IF($H$17=2,SpeakerCorrection2!F57,0)+IF($H$17=3,SpeakerCorrection3!F57,0)+IF($H$17=4,SpeakerCorrection4!F57,0)</f>
        <v>0</v>
      </c>
      <c r="G186" s="7">
        <f>IF($H$17=1,SpeakerCorrection1!G57,0)+IF($H$17=2,SpeakerCorrection2!G57,0)+IF($H$17=3,SpeakerCorrection3!G57,0)+IF($H$17=4,SpeakerCorrection4!G57,0)</f>
        <v>0</v>
      </c>
      <c r="H186" s="7">
        <f>IF($H$17=1,SpeakerCorrection1!H57,0)+IF($H$17=2,SpeakerCorrection2!H57,0)+IF($H$17=3,SpeakerCorrection3!H57,0)+IF($H$17=4,SpeakerCorrection4!H57,0)</f>
        <v>0</v>
      </c>
    </row>
    <row r="187" spans="1:8" ht="12" customHeight="1">
      <c r="A187" s="82"/>
      <c r="B187" s="4">
        <v>40</v>
      </c>
      <c r="C187" s="5" t="s">
        <v>130</v>
      </c>
      <c r="D187" s="2" t="s">
        <v>125</v>
      </c>
      <c r="E187" s="7">
        <f>IF($H$17=1,SpeakerCorrection1!E58,0)+IF($H$17=2,SpeakerCorrection2!E58,0)+IF($H$17=3,SpeakerCorrection3!E58,0)+IF($H$17=4,SpeakerCorrection4!E58,0)</f>
        <v>0</v>
      </c>
      <c r="F187" s="7">
        <f>IF($H$17=1,SpeakerCorrection1!F58,0)+IF($H$17=2,SpeakerCorrection2!F58,0)+IF($H$17=3,SpeakerCorrection3!F58,0)+IF($H$17=4,SpeakerCorrection4!F58,0)</f>
        <v>0</v>
      </c>
      <c r="G187" s="7">
        <f>IF($H$17=1,SpeakerCorrection1!G58,0)+IF($H$17=2,SpeakerCorrection2!G58,0)+IF($H$17=3,SpeakerCorrection3!G58,0)+IF($H$17=4,SpeakerCorrection4!G58,0)</f>
        <v>0</v>
      </c>
      <c r="H187" s="7">
        <f>IF($H$17=1,SpeakerCorrection1!H58,0)+IF($H$17=2,SpeakerCorrection2!H58,0)+IF($H$17=3,SpeakerCorrection3!H58,0)+IF($H$17=4,SpeakerCorrection4!H58,0)</f>
        <v>0</v>
      </c>
    </row>
    <row r="188" spans="1:8" ht="12" customHeight="1">
      <c r="A188" s="82"/>
      <c r="B188" s="4">
        <v>50</v>
      </c>
      <c r="C188" s="5" t="s">
        <v>130</v>
      </c>
      <c r="D188" s="2" t="s">
        <v>125</v>
      </c>
      <c r="E188" s="7">
        <f>IF($H$17=1,SpeakerCorrection1!E59,0)+IF($H$17=2,SpeakerCorrection2!E59,0)+IF($H$17=3,SpeakerCorrection3!E59,0)+IF($H$17=4,SpeakerCorrection4!E59,0)</f>
        <v>0</v>
      </c>
      <c r="F188" s="7">
        <f>IF($H$17=1,SpeakerCorrection1!F59,0)+IF($H$17=2,SpeakerCorrection2!F59,0)+IF($H$17=3,SpeakerCorrection3!F59,0)+IF($H$17=4,SpeakerCorrection4!F59,0)</f>
        <v>0</v>
      </c>
      <c r="G188" s="7">
        <f>IF($H$17=1,SpeakerCorrection1!G59,0)+IF($H$17=2,SpeakerCorrection2!G59,0)+IF($H$17=3,SpeakerCorrection3!G59,0)+IF($H$17=4,SpeakerCorrection4!G59,0)</f>
        <v>0</v>
      </c>
      <c r="H188" s="7">
        <f>IF($H$17=1,SpeakerCorrection1!H59,0)+IF($H$17=2,SpeakerCorrection2!H59,0)+IF($H$17=3,SpeakerCorrection3!H59,0)+IF($H$17=4,SpeakerCorrection4!H59,0)</f>
        <v>0</v>
      </c>
    </row>
    <row r="189" spans="1:8" ht="12" customHeight="1">
      <c r="A189" s="82"/>
      <c r="B189" s="4">
        <v>70</v>
      </c>
      <c r="C189" s="5" t="s">
        <v>130</v>
      </c>
      <c r="D189" s="2" t="s">
        <v>125</v>
      </c>
      <c r="E189" s="7">
        <f>IF($H$17=1,SpeakerCorrection1!E60,0)+IF($H$17=2,SpeakerCorrection2!E60,0)+IF($H$17=3,SpeakerCorrection3!E60,0)+IF($H$17=4,SpeakerCorrection4!E60,0)</f>
        <v>0</v>
      </c>
      <c r="F189" s="7">
        <f>IF($H$17=1,SpeakerCorrection1!F60,0)+IF($H$17=2,SpeakerCorrection2!F60,0)+IF($H$17=3,SpeakerCorrection3!F60,0)+IF($H$17=4,SpeakerCorrection4!F60,0)</f>
        <v>0</v>
      </c>
      <c r="G189" s="7">
        <f>IF($H$17=1,SpeakerCorrection1!G60,0)+IF($H$17=2,SpeakerCorrection2!G60,0)+IF($H$17=3,SpeakerCorrection3!G60,0)+IF($H$17=4,SpeakerCorrection4!G60,0)</f>
        <v>0</v>
      </c>
      <c r="H189" s="7">
        <f>IF($H$17=1,SpeakerCorrection1!H60,0)+IF($H$17=2,SpeakerCorrection2!H60,0)+IF($H$17=3,SpeakerCorrection3!H60,0)+IF($H$17=4,SpeakerCorrection4!H60,0)</f>
        <v>0</v>
      </c>
    </row>
    <row r="190" spans="1:8" ht="12" customHeight="1">
      <c r="A190" s="82"/>
      <c r="B190" s="4">
        <v>100</v>
      </c>
      <c r="C190" s="5" t="s">
        <v>130</v>
      </c>
      <c r="D190" s="2" t="s">
        <v>125</v>
      </c>
      <c r="E190" s="7">
        <f>IF($H$17=1,SpeakerCorrection1!E61,0)+IF($H$17=2,SpeakerCorrection2!E61,0)+IF($H$17=3,SpeakerCorrection3!E61,0)+IF($H$17=4,SpeakerCorrection4!E61,0)</f>
        <v>0</v>
      </c>
      <c r="F190" s="7">
        <f>IF($H$17=1,SpeakerCorrection1!F61,0)+IF($H$17=2,SpeakerCorrection2!F61,0)+IF($H$17=3,SpeakerCorrection3!F61,0)+IF($H$17=4,SpeakerCorrection4!F61,0)</f>
        <v>0</v>
      </c>
      <c r="G190" s="7">
        <f>IF($H$17=1,SpeakerCorrection1!G61,0)+IF($H$17=2,SpeakerCorrection2!G61,0)+IF($H$17=3,SpeakerCorrection3!G61,0)+IF($H$17=4,SpeakerCorrection4!G61,0)</f>
        <v>0</v>
      </c>
      <c r="H190" s="7">
        <f>IF($H$17=1,SpeakerCorrection1!H61,0)+IF($H$17=2,SpeakerCorrection2!H61,0)+IF($H$17=3,SpeakerCorrection3!H61,0)+IF($H$17=4,SpeakerCorrection4!H61,0)</f>
        <v>0</v>
      </c>
    </row>
    <row r="191" spans="1:8" ht="12" customHeight="1">
      <c r="A191" s="82"/>
      <c r="B191" s="4">
        <v>150</v>
      </c>
      <c r="C191" s="5" t="s">
        <v>130</v>
      </c>
      <c r="D191" s="2" t="s">
        <v>125</v>
      </c>
      <c r="E191" s="7">
        <f>IF($H$17=1,SpeakerCorrection1!E62,0)+IF($H$17=2,SpeakerCorrection2!E62,0)+IF($H$17=3,SpeakerCorrection3!E62,0)+IF($H$17=4,SpeakerCorrection4!E62,0)</f>
        <v>0</v>
      </c>
      <c r="F191" s="7">
        <f>IF($H$17=1,SpeakerCorrection1!F62,0)+IF($H$17=2,SpeakerCorrection2!F62,0)+IF($H$17=3,SpeakerCorrection3!F62,0)+IF($H$17=4,SpeakerCorrection4!F62,0)</f>
        <v>0</v>
      </c>
      <c r="G191" s="7">
        <f>IF($H$17=1,SpeakerCorrection1!G62,0)+IF($H$17=2,SpeakerCorrection2!G62,0)+IF($H$17=3,SpeakerCorrection3!G62,0)+IF($H$17=4,SpeakerCorrection4!G62,0)</f>
        <v>0</v>
      </c>
      <c r="H191" s="7">
        <f>IF($H$17=1,SpeakerCorrection1!H62,0)+IF($H$17=2,SpeakerCorrection2!H62,0)+IF($H$17=3,SpeakerCorrection3!H62,0)+IF($H$17=4,SpeakerCorrection4!H62,0)</f>
        <v>0</v>
      </c>
    </row>
    <row r="192" spans="1:8" ht="12" customHeight="1">
      <c r="A192" s="82"/>
      <c r="B192" s="4">
        <v>200</v>
      </c>
      <c r="C192" s="5" t="s">
        <v>130</v>
      </c>
      <c r="D192" s="2" t="s">
        <v>125</v>
      </c>
      <c r="E192" s="7">
        <f>IF($H$17=1,SpeakerCorrection1!E63,0)+IF($H$17=2,SpeakerCorrection2!E63,0)+IF($H$17=3,SpeakerCorrection3!E63,0)+IF($H$17=4,SpeakerCorrection4!E63,0)</f>
        <v>0</v>
      </c>
      <c r="F192" s="7">
        <f>IF($H$17=1,SpeakerCorrection1!F63,0)+IF($H$17=2,SpeakerCorrection2!F63,0)+IF($H$17=3,SpeakerCorrection3!F63,0)+IF($H$17=4,SpeakerCorrection4!F63,0)</f>
        <v>0</v>
      </c>
      <c r="G192" s="7">
        <f>IF($H$17=1,SpeakerCorrection1!G63,0)+IF($H$17=2,SpeakerCorrection2!G63,0)+IF($H$17=3,SpeakerCorrection3!G63,0)+IF($H$17=4,SpeakerCorrection4!G63,0)</f>
        <v>0</v>
      </c>
      <c r="H192" s="7">
        <f>IF($H$17=1,SpeakerCorrection1!H63,0)+IF($H$17=2,SpeakerCorrection2!H63,0)+IF($H$17=3,SpeakerCorrection3!H63,0)+IF($H$17=4,SpeakerCorrection4!H63,0)</f>
        <v>0</v>
      </c>
    </row>
    <row r="193" spans="1:8" ht="12" customHeight="1">
      <c r="A193" s="82"/>
      <c r="B193" s="4">
        <v>300</v>
      </c>
      <c r="C193" s="5" t="s">
        <v>130</v>
      </c>
      <c r="D193" s="2" t="s">
        <v>125</v>
      </c>
      <c r="E193" s="7">
        <f>IF($H$17=1,SpeakerCorrection1!E64,0)+IF($H$17=2,SpeakerCorrection2!E64,0)+IF($H$17=3,SpeakerCorrection3!E64,0)+IF($H$17=4,SpeakerCorrection4!E64,0)</f>
        <v>0</v>
      </c>
      <c r="F193" s="7">
        <f>IF($H$17=1,SpeakerCorrection1!F64,0)+IF($H$17=2,SpeakerCorrection2!F64,0)+IF($H$17=3,SpeakerCorrection3!F64,0)+IF($H$17=4,SpeakerCorrection4!F64,0)</f>
        <v>0</v>
      </c>
      <c r="G193" s="7">
        <f>IF($H$17=1,SpeakerCorrection1!G64,0)+IF($H$17=2,SpeakerCorrection2!G64,0)+IF($H$17=3,SpeakerCorrection3!G64,0)+IF($H$17=4,SpeakerCorrection4!G64,0)</f>
        <v>0</v>
      </c>
      <c r="H193" s="7">
        <f>IF($H$17=1,SpeakerCorrection1!H64,0)+IF($H$17=2,SpeakerCorrection2!H64,0)+IF($H$17=3,SpeakerCorrection3!H64,0)+IF($H$17=4,SpeakerCorrection4!H64,0)</f>
        <v>0</v>
      </c>
    </row>
    <row r="194" spans="1:8" ht="12" customHeight="1">
      <c r="A194" s="82"/>
      <c r="B194" s="4">
        <v>400</v>
      </c>
      <c r="C194" s="5" t="s">
        <v>130</v>
      </c>
      <c r="D194" s="2" t="s">
        <v>125</v>
      </c>
      <c r="E194" s="7">
        <f>IF($H$17=1,SpeakerCorrection1!E65,0)+IF($H$17=2,SpeakerCorrection2!E65,0)+IF($H$17=3,SpeakerCorrection3!E65,0)+IF($H$17=4,SpeakerCorrection4!E65,0)</f>
        <v>0</v>
      </c>
      <c r="F194" s="7">
        <f>IF($H$17=1,SpeakerCorrection1!F65,0)+IF($H$17=2,SpeakerCorrection2!F65,0)+IF($H$17=3,SpeakerCorrection3!F65,0)+IF($H$17=4,SpeakerCorrection4!F65,0)</f>
        <v>0</v>
      </c>
      <c r="G194" s="7">
        <f>IF($H$17=1,SpeakerCorrection1!G65,0)+IF($H$17=2,SpeakerCorrection2!G65,0)+IF($H$17=3,SpeakerCorrection3!G65,0)+IF($H$17=4,SpeakerCorrection4!G65,0)</f>
        <v>0</v>
      </c>
      <c r="H194" s="7">
        <f>IF($H$17=1,SpeakerCorrection1!H65,0)+IF($H$17=2,SpeakerCorrection2!H65,0)+IF($H$17=3,SpeakerCorrection3!H65,0)+IF($H$17=4,SpeakerCorrection4!H65,0)</f>
        <v>0</v>
      </c>
    </row>
    <row r="195" spans="1:8" ht="12" customHeight="1">
      <c r="A195" s="82"/>
      <c r="B195" s="4">
        <v>500</v>
      </c>
      <c r="C195" s="5" t="s">
        <v>130</v>
      </c>
      <c r="D195" s="2" t="s">
        <v>125</v>
      </c>
      <c r="E195" s="7">
        <f>IF($H$17=1,SpeakerCorrection1!E66,0)+IF($H$17=2,SpeakerCorrection2!E66,0)+IF($H$17=3,SpeakerCorrection3!E66,0)+IF($H$17=4,SpeakerCorrection4!E66,0)</f>
        <v>0</v>
      </c>
      <c r="F195" s="7">
        <f>IF($H$17=1,SpeakerCorrection1!F66,0)+IF($H$17=2,SpeakerCorrection2!F66,0)+IF($H$17=3,SpeakerCorrection3!F66,0)+IF($H$17=4,SpeakerCorrection4!F66,0)</f>
        <v>0</v>
      </c>
      <c r="G195" s="7">
        <f>IF($H$17=1,SpeakerCorrection1!G66,0)+IF($H$17=2,SpeakerCorrection2!G66,0)+IF($H$17=3,SpeakerCorrection3!G66,0)+IF($H$17=4,SpeakerCorrection4!G66,0)</f>
        <v>0</v>
      </c>
      <c r="H195" s="7">
        <f>IF($H$17=1,SpeakerCorrection1!H66,0)+IF($H$17=2,SpeakerCorrection2!H66,0)+IF($H$17=3,SpeakerCorrection3!H66,0)+IF($H$17=4,SpeakerCorrection4!H66,0)</f>
        <v>0</v>
      </c>
    </row>
    <row r="196" spans="1:8" ht="12" customHeight="1">
      <c r="A196" s="82"/>
      <c r="B196" s="4">
        <v>700</v>
      </c>
      <c r="C196" s="5" t="s">
        <v>130</v>
      </c>
      <c r="D196" s="2" t="s">
        <v>125</v>
      </c>
      <c r="E196" s="7">
        <f>IF($H$17=1,SpeakerCorrection1!E67,0)+IF($H$17=2,SpeakerCorrection2!E67,0)+IF($H$17=3,SpeakerCorrection3!E67,0)+IF($H$17=4,SpeakerCorrection4!E67,0)</f>
        <v>0</v>
      </c>
      <c r="F196" s="7">
        <f>IF($H$17=1,SpeakerCorrection1!F67,0)+IF($H$17=2,SpeakerCorrection2!F67,0)+IF($H$17=3,SpeakerCorrection3!F67,0)+IF($H$17=4,SpeakerCorrection4!F67,0)</f>
        <v>0</v>
      </c>
      <c r="G196" s="7">
        <f>IF($H$17=1,SpeakerCorrection1!G67,0)+IF($H$17=2,SpeakerCorrection2!G67,0)+IF($H$17=3,SpeakerCorrection3!G67,0)+IF($H$17=4,SpeakerCorrection4!G67,0)</f>
        <v>0</v>
      </c>
      <c r="H196" s="7">
        <f>IF($H$17=1,SpeakerCorrection1!H67,0)+IF($H$17=2,SpeakerCorrection2!H67,0)+IF($H$17=3,SpeakerCorrection3!H67,0)+IF($H$17=4,SpeakerCorrection4!H67,0)</f>
        <v>0</v>
      </c>
    </row>
    <row r="197" spans="1:8" ht="12" customHeight="1">
      <c r="A197" s="82"/>
      <c r="B197" s="4" t="s">
        <v>43</v>
      </c>
      <c r="C197" s="5" t="s">
        <v>130</v>
      </c>
      <c r="D197" s="2" t="s">
        <v>125</v>
      </c>
      <c r="E197" s="7">
        <f>IF($H$17=1,SpeakerCorrection1!E68,0)+IF($H$17=2,SpeakerCorrection2!E68,0)+IF($H$17=3,SpeakerCorrection3!E68,0)+IF($H$17=4,SpeakerCorrection4!E68,0)</f>
        <v>0</v>
      </c>
      <c r="F197" s="7">
        <f>IF($H$17=1,SpeakerCorrection1!F68,0)+IF($H$17=2,SpeakerCorrection2!F68,0)+IF($H$17=3,SpeakerCorrection3!F68,0)+IF($H$17=4,SpeakerCorrection4!F68,0)</f>
        <v>0</v>
      </c>
      <c r="G197" s="7">
        <f>IF($H$17=1,SpeakerCorrection1!G68,0)+IF($H$17=2,SpeakerCorrection2!G68,0)+IF($H$17=3,SpeakerCorrection3!G68,0)+IF($H$17=4,SpeakerCorrection4!G68,0)</f>
        <v>0</v>
      </c>
      <c r="H197" s="7">
        <f>IF($H$17=1,SpeakerCorrection1!H68,0)+IF($H$17=2,SpeakerCorrection2!H68,0)+IF($H$17=3,SpeakerCorrection3!H68,0)+IF($H$17=4,SpeakerCorrection4!H68,0)</f>
        <v>0</v>
      </c>
    </row>
    <row r="198" spans="1:8" ht="12" customHeight="1">
      <c r="A198" s="82"/>
      <c r="B198" s="4" t="s">
        <v>44</v>
      </c>
      <c r="C198" s="5" t="s">
        <v>130</v>
      </c>
      <c r="D198" s="2" t="s">
        <v>125</v>
      </c>
      <c r="E198" s="7">
        <f>IF($H$17=1,SpeakerCorrection1!E69,0)+IF($H$17=2,SpeakerCorrection2!E69,0)+IF($H$17=3,SpeakerCorrection3!E69,0)+IF($H$17=4,SpeakerCorrection4!E69,0)</f>
        <v>0</v>
      </c>
      <c r="F198" s="7">
        <f>IF($H$17=1,SpeakerCorrection1!F69,0)+IF($H$17=2,SpeakerCorrection2!F69,0)+IF($H$17=3,SpeakerCorrection3!F69,0)+IF($H$17=4,SpeakerCorrection4!F69,0)</f>
        <v>0</v>
      </c>
      <c r="G198" s="7">
        <f>IF($H$17=1,SpeakerCorrection1!G69,0)+IF($H$17=2,SpeakerCorrection2!G69,0)+IF($H$17=3,SpeakerCorrection3!G69,0)+IF($H$17=4,SpeakerCorrection4!G69,0)</f>
        <v>0</v>
      </c>
      <c r="H198" s="7">
        <f>IF($H$17=1,SpeakerCorrection1!H69,0)+IF($H$17=2,SpeakerCorrection2!H69,0)+IF($H$17=3,SpeakerCorrection3!H69,0)+IF($H$17=4,SpeakerCorrection4!H69,0)</f>
        <v>0</v>
      </c>
    </row>
    <row r="199" spans="1:8" ht="12" customHeight="1">
      <c r="A199" s="82"/>
      <c r="B199" s="4" t="s">
        <v>45</v>
      </c>
      <c r="C199" s="5" t="s">
        <v>130</v>
      </c>
      <c r="D199" s="2" t="s">
        <v>125</v>
      </c>
      <c r="E199" s="7">
        <f>IF($H$17=1,SpeakerCorrection1!E70,0)+IF($H$17=2,SpeakerCorrection2!E70,0)+IF($H$17=3,SpeakerCorrection3!E70,0)+IF($H$17=4,SpeakerCorrection4!E70,0)</f>
        <v>0</v>
      </c>
      <c r="F199" s="7">
        <f>IF($H$17=1,SpeakerCorrection1!F70,0)+IF($H$17=2,SpeakerCorrection2!F70,0)+IF($H$17=3,SpeakerCorrection3!F70,0)+IF($H$17=4,SpeakerCorrection4!F70,0)</f>
        <v>0</v>
      </c>
      <c r="G199" s="7">
        <f>IF($H$17=1,SpeakerCorrection1!G70,0)+IF($H$17=2,SpeakerCorrection2!G70,0)+IF($H$17=3,SpeakerCorrection3!G70,0)+IF($H$17=4,SpeakerCorrection4!G70,0)</f>
        <v>0</v>
      </c>
      <c r="H199" s="7">
        <f>IF($H$17=1,SpeakerCorrection1!H70,0)+IF($H$17=2,SpeakerCorrection2!H70,0)+IF($H$17=3,SpeakerCorrection3!H70,0)+IF($H$17=4,SpeakerCorrection4!H70,0)</f>
        <v>0</v>
      </c>
    </row>
    <row r="200" spans="1:8" ht="12" customHeight="1">
      <c r="A200" s="82"/>
      <c r="B200" s="4" t="s">
        <v>46</v>
      </c>
      <c r="C200" s="5" t="s">
        <v>130</v>
      </c>
      <c r="D200" s="2" t="s">
        <v>125</v>
      </c>
      <c r="E200" s="7">
        <f>IF($H$17=1,SpeakerCorrection1!E71,0)+IF($H$17=2,SpeakerCorrection2!E71,0)+IF($H$17=3,SpeakerCorrection3!E71,0)+IF($H$17=4,SpeakerCorrection4!E71,0)</f>
        <v>0</v>
      </c>
      <c r="F200" s="7">
        <f>IF($H$17=1,SpeakerCorrection1!F71,0)+IF($H$17=2,SpeakerCorrection2!F71,0)+IF($H$17=3,SpeakerCorrection3!F71,0)+IF($H$17=4,SpeakerCorrection4!F71,0)</f>
        <v>0</v>
      </c>
      <c r="G200" s="7">
        <f>IF($H$17=1,SpeakerCorrection1!G71,0)+IF($H$17=2,SpeakerCorrection2!G71,0)+IF($H$17=3,SpeakerCorrection3!G71,0)+IF($H$17=4,SpeakerCorrection4!G71,0)</f>
        <v>0</v>
      </c>
      <c r="H200" s="7">
        <f>IF($H$17=1,SpeakerCorrection1!H71,0)+IF($H$17=2,SpeakerCorrection2!H71,0)+IF($H$17=3,SpeakerCorrection3!H71,0)+IF($H$17=4,SpeakerCorrection4!H71,0)</f>
        <v>0</v>
      </c>
    </row>
    <row r="201" spans="1:8" ht="12" customHeight="1">
      <c r="A201" s="82"/>
      <c r="B201" s="4" t="s">
        <v>47</v>
      </c>
      <c r="C201" s="5" t="s">
        <v>130</v>
      </c>
      <c r="D201" s="2" t="s">
        <v>125</v>
      </c>
      <c r="E201" s="7">
        <f>IF($H$17=1,SpeakerCorrection1!E72,0)+IF($H$17=2,SpeakerCorrection2!E72,0)+IF($H$17=3,SpeakerCorrection3!E72,0)+IF($H$17=4,SpeakerCorrection4!E72,0)</f>
        <v>0</v>
      </c>
      <c r="F201" s="7">
        <f>IF($H$17=1,SpeakerCorrection1!F72,0)+IF($H$17=2,SpeakerCorrection2!F72,0)+IF($H$17=3,SpeakerCorrection3!F72,0)+IF($H$17=4,SpeakerCorrection4!F72,0)</f>
        <v>0</v>
      </c>
      <c r="G201" s="7">
        <f>IF($H$17=1,SpeakerCorrection1!G72,0)+IF($H$17=2,SpeakerCorrection2!G72,0)+IF($H$17=3,SpeakerCorrection3!G72,0)+IF($H$17=4,SpeakerCorrection4!G72,0)</f>
        <v>0</v>
      </c>
      <c r="H201" s="7">
        <f>IF($H$17=1,SpeakerCorrection1!H72,0)+IF($H$17=2,SpeakerCorrection2!H72,0)+IF($H$17=3,SpeakerCorrection3!H72,0)+IF($H$17=4,SpeakerCorrection4!H72,0)</f>
        <v>0</v>
      </c>
    </row>
    <row r="202" spans="1:8" ht="12" customHeight="1">
      <c r="A202" s="82"/>
      <c r="B202" s="4" t="s">
        <v>48</v>
      </c>
      <c r="C202" s="5" t="s">
        <v>130</v>
      </c>
      <c r="D202" s="2" t="s">
        <v>125</v>
      </c>
      <c r="E202" s="7">
        <f>IF($H$17=1,SpeakerCorrection1!E73,0)+IF($H$17=2,SpeakerCorrection2!E73,0)+IF($H$17=3,SpeakerCorrection3!E73,0)+IF($H$17=4,SpeakerCorrection4!E73,0)</f>
        <v>0</v>
      </c>
      <c r="F202" s="7">
        <f>IF($H$17=1,SpeakerCorrection1!F73,0)+IF($H$17=2,SpeakerCorrection2!F73,0)+IF($H$17=3,SpeakerCorrection3!F73,0)+IF($H$17=4,SpeakerCorrection4!F73,0)</f>
        <v>0</v>
      </c>
      <c r="G202" s="7">
        <f>IF($H$17=1,SpeakerCorrection1!G73,0)+IF($H$17=2,SpeakerCorrection2!G73,0)+IF($H$17=3,SpeakerCorrection3!G73,0)+IF($H$17=4,SpeakerCorrection4!G73,0)</f>
        <v>0</v>
      </c>
      <c r="H202" s="7">
        <f>IF($H$17=1,SpeakerCorrection1!H73,0)+IF($H$17=2,SpeakerCorrection2!H73,0)+IF($H$17=3,SpeakerCorrection3!H73,0)+IF($H$17=4,SpeakerCorrection4!H73,0)</f>
        <v>0</v>
      </c>
    </row>
    <row r="203" spans="1:8" ht="12" customHeight="1">
      <c r="A203" s="82"/>
      <c r="B203" s="4" t="s">
        <v>49</v>
      </c>
      <c r="C203" s="5" t="s">
        <v>130</v>
      </c>
      <c r="D203" s="2" t="s">
        <v>125</v>
      </c>
      <c r="E203" s="7">
        <f>IF($H$17=1,SpeakerCorrection1!E74,0)+IF($H$17=2,SpeakerCorrection2!E74,0)+IF($H$17=3,SpeakerCorrection3!E74,0)+IF($H$17=4,SpeakerCorrection4!E74,0)</f>
        <v>0</v>
      </c>
      <c r="F203" s="7">
        <f>IF($H$17=1,SpeakerCorrection1!F74,0)+IF($H$17=2,SpeakerCorrection2!F74,0)+IF($H$17=3,SpeakerCorrection3!F74,0)+IF($H$17=4,SpeakerCorrection4!F74,0)</f>
        <v>0</v>
      </c>
      <c r="G203" s="7">
        <f>IF($H$17=1,SpeakerCorrection1!G74,0)+IF($H$17=2,SpeakerCorrection2!G74,0)+IF($H$17=3,SpeakerCorrection3!G74,0)+IF($H$17=4,SpeakerCorrection4!G74,0)</f>
        <v>0</v>
      </c>
      <c r="H203" s="7">
        <f>IF($H$17=1,SpeakerCorrection1!H74,0)+IF($H$17=2,SpeakerCorrection2!H74,0)+IF($H$17=3,SpeakerCorrection3!H74,0)+IF($H$17=4,SpeakerCorrection4!H74,0)</f>
        <v>0</v>
      </c>
    </row>
    <row r="204" spans="1:8" ht="12" customHeight="1">
      <c r="A204" s="82"/>
      <c r="B204" s="4" t="s">
        <v>50</v>
      </c>
      <c r="C204" s="5" t="s">
        <v>130</v>
      </c>
      <c r="D204" s="2" t="s">
        <v>125</v>
      </c>
      <c r="E204" s="7">
        <f>IF($H$17=1,SpeakerCorrection1!E75,0)+IF($H$17=2,SpeakerCorrection2!E75,0)+IF($H$17=3,SpeakerCorrection3!E75,0)+IF($H$17=4,SpeakerCorrection4!E75,0)</f>
        <v>0</v>
      </c>
      <c r="F204" s="7">
        <f>IF($H$17=1,SpeakerCorrection1!F75,0)+IF($H$17=2,SpeakerCorrection2!F75,0)+IF($H$17=3,SpeakerCorrection3!F75,0)+IF($H$17=4,SpeakerCorrection4!F75,0)</f>
        <v>0</v>
      </c>
      <c r="G204" s="7">
        <f>IF($H$17=1,SpeakerCorrection1!G75,0)+IF($H$17=2,SpeakerCorrection2!G75,0)+IF($H$17=3,SpeakerCorrection3!G75,0)+IF($H$17=4,SpeakerCorrection4!G75,0)</f>
        <v>0</v>
      </c>
      <c r="H204" s="7">
        <f>IF($H$17=1,SpeakerCorrection1!H75,0)+IF($H$17=2,SpeakerCorrection2!H75,0)+IF($H$17=3,SpeakerCorrection3!H75,0)+IF($H$17=4,SpeakerCorrection4!H75,0)</f>
        <v>0</v>
      </c>
    </row>
    <row r="205" spans="1:8" ht="12" customHeight="1">
      <c r="A205" s="82"/>
      <c r="B205" s="4" t="s">
        <v>51</v>
      </c>
      <c r="C205" s="5" t="s">
        <v>130</v>
      </c>
      <c r="D205" s="2" t="s">
        <v>125</v>
      </c>
      <c r="E205" s="7">
        <f>IF($H$17=1,SpeakerCorrection1!E76,0)+IF($H$17=2,SpeakerCorrection2!E76,0)+IF($H$17=3,SpeakerCorrection3!E76,0)+IF($H$17=4,SpeakerCorrection4!E76,0)</f>
        <v>0</v>
      </c>
      <c r="F205" s="7">
        <f>IF($H$17=1,SpeakerCorrection1!F76,0)+IF($H$17=2,SpeakerCorrection2!F76,0)+IF($H$17=3,SpeakerCorrection3!F76,0)+IF($H$17=4,SpeakerCorrection4!F76,0)</f>
        <v>0</v>
      </c>
      <c r="G205" s="7">
        <f>IF($H$17=1,SpeakerCorrection1!G76,0)+IF($H$17=2,SpeakerCorrection2!G76,0)+IF($H$17=3,SpeakerCorrection3!G76,0)+IF($H$17=4,SpeakerCorrection4!G76,0)</f>
        <v>0</v>
      </c>
      <c r="H205" s="7">
        <f>IF($H$17=1,SpeakerCorrection1!H76,0)+IF($H$17=2,SpeakerCorrection2!H76,0)+IF($H$17=3,SpeakerCorrection3!H76,0)+IF($H$17=4,SpeakerCorrection4!H76,0)</f>
        <v>0</v>
      </c>
    </row>
    <row r="206" spans="1:8" ht="12" customHeight="1">
      <c r="A206" s="83"/>
      <c r="B206" s="4" t="s">
        <v>52</v>
      </c>
      <c r="C206" s="5" t="s">
        <v>130</v>
      </c>
      <c r="D206" s="2" t="s">
        <v>125</v>
      </c>
      <c r="E206" s="7">
        <f>IF($H$17=1,SpeakerCorrection1!E77,0)+IF($H$17=2,SpeakerCorrection2!E77,0)+IF($H$17=3,SpeakerCorrection3!E77,0)+IF($H$17=4,SpeakerCorrection4!E77,0)</f>
        <v>0</v>
      </c>
      <c r="F206" s="7">
        <f>IF($H$17=1,SpeakerCorrection1!F77,0)+IF($H$17=2,SpeakerCorrection2!F77,0)+IF($H$17=3,SpeakerCorrection3!F77,0)+IF($H$17=4,SpeakerCorrection4!F77,0)</f>
        <v>0</v>
      </c>
      <c r="G206" s="7">
        <f>IF($H$17=1,SpeakerCorrection1!G77,0)+IF($H$17=2,SpeakerCorrection2!G77,0)+IF($H$17=3,SpeakerCorrection3!G77,0)+IF($H$17=4,SpeakerCorrection4!G77,0)</f>
        <v>0</v>
      </c>
      <c r="H206" s="7">
        <f>IF($H$17=1,SpeakerCorrection1!H77,0)+IF($H$17=2,SpeakerCorrection2!H77,0)+IF($H$17=3,SpeakerCorrection3!H77,0)+IF($H$17=4,SpeakerCorrection4!H77,0)</f>
        <v>0</v>
      </c>
    </row>
    <row r="207" spans="1:8" ht="12" customHeight="1">
      <c r="A207" s="81" t="s">
        <v>123</v>
      </c>
      <c r="B207" s="4">
        <v>20</v>
      </c>
      <c r="C207" s="5" t="s">
        <v>130</v>
      </c>
      <c r="D207" s="2" t="s">
        <v>124</v>
      </c>
      <c r="E207" s="53">
        <f>IF($H$17=1,SpeakerCorrection1!E78,0)+IF($H$17=2,SpeakerCorrection2!E78,0)+IF($H$17=3,SpeakerCorrection3!E78,0)+IF($H$17=4,SpeakerCorrection4!E78,0)</f>
        <v>0</v>
      </c>
      <c r="F207" s="53">
        <f>IF($H$17=1,SpeakerCorrection1!F78,0)+IF($H$17=2,SpeakerCorrection2!F78,0)+IF($H$17=3,SpeakerCorrection3!F78,0)+IF($H$17=4,SpeakerCorrection4!F78,0)</f>
        <v>0</v>
      </c>
      <c r="G207" s="53">
        <f>IF($H$17=1,SpeakerCorrection1!G78,0)+IF($H$17=2,SpeakerCorrection2!G78,0)+IF($H$17=3,SpeakerCorrection3!G78,0)+IF($H$17=4,SpeakerCorrection4!G78,0)</f>
        <v>0</v>
      </c>
      <c r="H207" s="53">
        <f>IF($H$17=1,SpeakerCorrection1!H78,0)+IF($H$17=2,SpeakerCorrection2!H78,0)+IF($H$17=3,SpeakerCorrection3!H78,0)+IF($H$17=4,SpeakerCorrection4!H78,0)</f>
        <v>0</v>
      </c>
    </row>
    <row r="208" spans="1:8" ht="12" customHeight="1">
      <c r="A208" s="82"/>
      <c r="B208" s="4">
        <v>30</v>
      </c>
      <c r="C208" s="5" t="s">
        <v>130</v>
      </c>
      <c r="D208" s="2" t="s">
        <v>124</v>
      </c>
      <c r="E208" s="53">
        <f>IF($H$17=1,SpeakerCorrection1!E79,0)+IF($H$17=2,SpeakerCorrection2!E79,0)+IF($H$17=3,SpeakerCorrection3!E79,0)+IF($H$17=4,SpeakerCorrection4!E79,0)</f>
        <v>0</v>
      </c>
      <c r="F208" s="53">
        <f>IF($H$17=1,SpeakerCorrection1!F79,0)+IF($H$17=2,SpeakerCorrection2!F79,0)+IF($H$17=3,SpeakerCorrection3!F79,0)+IF($H$17=4,SpeakerCorrection4!F79,0)</f>
        <v>0</v>
      </c>
      <c r="G208" s="53">
        <f>IF($H$17=1,SpeakerCorrection1!G79,0)+IF($H$17=2,SpeakerCorrection2!G79,0)+IF($H$17=3,SpeakerCorrection3!G79,0)+IF($H$17=4,SpeakerCorrection4!G79,0)</f>
        <v>0</v>
      </c>
      <c r="H208" s="53">
        <f>IF($H$17=1,SpeakerCorrection1!H79,0)+IF($H$17=2,SpeakerCorrection2!H79,0)+IF($H$17=3,SpeakerCorrection3!H79,0)+IF($H$17=4,SpeakerCorrection4!H79,0)</f>
        <v>0</v>
      </c>
    </row>
    <row r="209" spans="1:8" ht="12" customHeight="1">
      <c r="A209" s="82"/>
      <c r="B209" s="4">
        <v>40</v>
      </c>
      <c r="C209" s="5" t="s">
        <v>130</v>
      </c>
      <c r="D209" s="2" t="s">
        <v>124</v>
      </c>
      <c r="E209" s="53">
        <f>IF($H$17=1,SpeakerCorrection1!E80,0)+IF($H$17=2,SpeakerCorrection2!E80,0)+IF($H$17=3,SpeakerCorrection3!E80,0)+IF($H$17=4,SpeakerCorrection4!E80,0)</f>
        <v>0</v>
      </c>
      <c r="F209" s="53">
        <f>IF($H$17=1,SpeakerCorrection1!F80,0)+IF($H$17=2,SpeakerCorrection2!F80,0)+IF($H$17=3,SpeakerCorrection3!F80,0)+IF($H$17=4,SpeakerCorrection4!F80,0)</f>
        <v>0</v>
      </c>
      <c r="G209" s="53">
        <f>IF($H$17=1,SpeakerCorrection1!G80,0)+IF($H$17=2,SpeakerCorrection2!G80,0)+IF($H$17=3,SpeakerCorrection3!G80,0)+IF($H$17=4,SpeakerCorrection4!G80,0)</f>
        <v>0</v>
      </c>
      <c r="H209" s="53">
        <f>IF($H$17=1,SpeakerCorrection1!H80,0)+IF($H$17=2,SpeakerCorrection2!H80,0)+IF($H$17=3,SpeakerCorrection3!H80,0)+IF($H$17=4,SpeakerCorrection4!H80,0)</f>
        <v>0</v>
      </c>
    </row>
    <row r="210" spans="1:8" ht="12" customHeight="1">
      <c r="A210" s="82"/>
      <c r="B210" s="4">
        <v>50</v>
      </c>
      <c r="C210" s="5" t="s">
        <v>130</v>
      </c>
      <c r="D210" s="2" t="s">
        <v>124</v>
      </c>
      <c r="E210" s="53">
        <f>IF($H$17=1,SpeakerCorrection1!E81,0)+IF($H$17=2,SpeakerCorrection2!E81,0)+IF($H$17=3,SpeakerCorrection3!E81,0)+IF($H$17=4,SpeakerCorrection4!E81,0)</f>
        <v>0</v>
      </c>
      <c r="F210" s="53">
        <f>IF($H$17=1,SpeakerCorrection1!F81,0)+IF($H$17=2,SpeakerCorrection2!F81,0)+IF($H$17=3,SpeakerCorrection3!F81,0)+IF($H$17=4,SpeakerCorrection4!F81,0)</f>
        <v>0</v>
      </c>
      <c r="G210" s="53">
        <f>IF($H$17=1,SpeakerCorrection1!G81,0)+IF($H$17=2,SpeakerCorrection2!G81,0)+IF($H$17=3,SpeakerCorrection3!G81,0)+IF($H$17=4,SpeakerCorrection4!G81,0)</f>
        <v>0</v>
      </c>
      <c r="H210" s="53">
        <f>IF($H$17=1,SpeakerCorrection1!H81,0)+IF($H$17=2,SpeakerCorrection2!H81,0)+IF($H$17=3,SpeakerCorrection3!H81,0)+IF($H$17=4,SpeakerCorrection4!H81,0)</f>
        <v>0</v>
      </c>
    </row>
    <row r="211" spans="1:8" ht="12" customHeight="1">
      <c r="A211" s="82"/>
      <c r="B211" s="4">
        <v>70</v>
      </c>
      <c r="C211" s="5" t="s">
        <v>130</v>
      </c>
      <c r="D211" s="2" t="s">
        <v>124</v>
      </c>
      <c r="E211" s="53">
        <f>IF($H$17=1,SpeakerCorrection1!E82,0)+IF($H$17=2,SpeakerCorrection2!E82,0)+IF($H$17=3,SpeakerCorrection3!E82,0)+IF($H$17=4,SpeakerCorrection4!E82,0)</f>
        <v>0</v>
      </c>
      <c r="F211" s="53">
        <f>IF($H$17=1,SpeakerCorrection1!F82,0)+IF($H$17=2,SpeakerCorrection2!F82,0)+IF($H$17=3,SpeakerCorrection3!F82,0)+IF($H$17=4,SpeakerCorrection4!F82,0)</f>
        <v>0</v>
      </c>
      <c r="G211" s="53">
        <f>IF($H$17=1,SpeakerCorrection1!G82,0)+IF($H$17=2,SpeakerCorrection2!G82,0)+IF($H$17=3,SpeakerCorrection3!G82,0)+IF($H$17=4,SpeakerCorrection4!G82,0)</f>
        <v>0</v>
      </c>
      <c r="H211" s="53">
        <f>IF($H$17=1,SpeakerCorrection1!H82,0)+IF($H$17=2,SpeakerCorrection2!H82,0)+IF($H$17=3,SpeakerCorrection3!H82,0)+IF($H$17=4,SpeakerCorrection4!H82,0)</f>
        <v>0</v>
      </c>
    </row>
    <row r="212" spans="1:8" ht="12" customHeight="1">
      <c r="A212" s="82"/>
      <c r="B212" s="4">
        <v>100</v>
      </c>
      <c r="C212" s="5" t="s">
        <v>130</v>
      </c>
      <c r="D212" s="2" t="s">
        <v>124</v>
      </c>
      <c r="E212" s="53">
        <f>IF($H$17=1,SpeakerCorrection1!E83,0)+IF($H$17=2,SpeakerCorrection2!E83,0)+IF($H$17=3,SpeakerCorrection3!E83,0)+IF($H$17=4,SpeakerCorrection4!E83,0)</f>
        <v>0</v>
      </c>
      <c r="F212" s="53">
        <f>IF($H$17=1,SpeakerCorrection1!F83,0)+IF($H$17=2,SpeakerCorrection2!F83,0)+IF($H$17=3,SpeakerCorrection3!F83,0)+IF($H$17=4,SpeakerCorrection4!F83,0)</f>
        <v>0</v>
      </c>
      <c r="G212" s="53">
        <f>IF($H$17=1,SpeakerCorrection1!G83,0)+IF($H$17=2,SpeakerCorrection2!G83,0)+IF($H$17=3,SpeakerCorrection3!G83,0)+IF($H$17=4,SpeakerCorrection4!G83,0)</f>
        <v>0</v>
      </c>
      <c r="H212" s="53">
        <f>IF($H$17=1,SpeakerCorrection1!H83,0)+IF($H$17=2,SpeakerCorrection2!H83,0)+IF($H$17=3,SpeakerCorrection3!H83,0)+IF($H$17=4,SpeakerCorrection4!H83,0)</f>
        <v>0</v>
      </c>
    </row>
    <row r="213" spans="1:8" ht="12" customHeight="1">
      <c r="A213" s="82"/>
      <c r="B213" s="4">
        <v>150</v>
      </c>
      <c r="C213" s="5" t="s">
        <v>130</v>
      </c>
      <c r="D213" s="2" t="s">
        <v>124</v>
      </c>
      <c r="E213" s="53">
        <f>IF($H$17=1,SpeakerCorrection1!E84,0)+IF($H$17=2,SpeakerCorrection2!E84,0)+IF($H$17=3,SpeakerCorrection3!E84,0)+IF($H$17=4,SpeakerCorrection4!E84,0)</f>
        <v>0</v>
      </c>
      <c r="F213" s="53">
        <f>IF($H$17=1,SpeakerCorrection1!F84,0)+IF($H$17=2,SpeakerCorrection2!F84,0)+IF($H$17=3,SpeakerCorrection3!F84,0)+IF($H$17=4,SpeakerCorrection4!F84,0)</f>
        <v>0</v>
      </c>
      <c r="G213" s="53">
        <f>IF($H$17=1,SpeakerCorrection1!G84,0)+IF($H$17=2,SpeakerCorrection2!G84,0)+IF($H$17=3,SpeakerCorrection3!G84,0)+IF($H$17=4,SpeakerCorrection4!G84,0)</f>
        <v>0</v>
      </c>
      <c r="H213" s="53">
        <f>IF($H$17=1,SpeakerCorrection1!H84,0)+IF($H$17=2,SpeakerCorrection2!H84,0)+IF($H$17=3,SpeakerCorrection3!H84,0)+IF($H$17=4,SpeakerCorrection4!H84,0)</f>
        <v>0</v>
      </c>
    </row>
    <row r="214" spans="1:8" ht="12" customHeight="1">
      <c r="A214" s="82"/>
      <c r="B214" s="4">
        <v>200</v>
      </c>
      <c r="C214" s="5" t="s">
        <v>130</v>
      </c>
      <c r="D214" s="2" t="s">
        <v>124</v>
      </c>
      <c r="E214" s="53">
        <f>IF($H$17=1,SpeakerCorrection1!E85,0)+IF($H$17=2,SpeakerCorrection2!E85,0)+IF($H$17=3,SpeakerCorrection3!E85,0)+IF($H$17=4,SpeakerCorrection4!E85,0)</f>
        <v>0</v>
      </c>
      <c r="F214" s="53">
        <f>IF($H$17=1,SpeakerCorrection1!F85,0)+IF($H$17=2,SpeakerCorrection2!F85,0)+IF($H$17=3,SpeakerCorrection3!F85,0)+IF($H$17=4,SpeakerCorrection4!F85,0)</f>
        <v>0</v>
      </c>
      <c r="G214" s="53">
        <f>IF($H$17=1,SpeakerCorrection1!G85,0)+IF($H$17=2,SpeakerCorrection2!G85,0)+IF($H$17=3,SpeakerCorrection3!G85,0)+IF($H$17=4,SpeakerCorrection4!G85,0)</f>
        <v>0</v>
      </c>
      <c r="H214" s="53">
        <f>IF($H$17=1,SpeakerCorrection1!H85,0)+IF($H$17=2,SpeakerCorrection2!H85,0)+IF($H$17=3,SpeakerCorrection3!H85,0)+IF($H$17=4,SpeakerCorrection4!H85,0)</f>
        <v>0</v>
      </c>
    </row>
    <row r="215" spans="1:8" ht="12" customHeight="1">
      <c r="A215" s="82"/>
      <c r="B215" s="4">
        <v>300</v>
      </c>
      <c r="C215" s="5" t="s">
        <v>130</v>
      </c>
      <c r="D215" s="2" t="s">
        <v>124</v>
      </c>
      <c r="E215" s="53">
        <f>IF($H$17=1,SpeakerCorrection1!E86,0)+IF($H$17=2,SpeakerCorrection2!E86,0)+IF($H$17=3,SpeakerCorrection3!E86,0)+IF($H$17=4,SpeakerCorrection4!E86,0)</f>
        <v>0</v>
      </c>
      <c r="F215" s="53">
        <f>IF($H$17=1,SpeakerCorrection1!F86,0)+IF($H$17=2,SpeakerCorrection2!F86,0)+IF($H$17=3,SpeakerCorrection3!F86,0)+IF($H$17=4,SpeakerCorrection4!F86,0)</f>
        <v>0</v>
      </c>
      <c r="G215" s="53">
        <f>IF($H$17=1,SpeakerCorrection1!G86,0)+IF($H$17=2,SpeakerCorrection2!G86,0)+IF($H$17=3,SpeakerCorrection3!G86,0)+IF($H$17=4,SpeakerCorrection4!G86,0)</f>
        <v>0</v>
      </c>
      <c r="H215" s="53">
        <f>IF($H$17=1,SpeakerCorrection1!H86,0)+IF($H$17=2,SpeakerCorrection2!H86,0)+IF($H$17=3,SpeakerCorrection3!H86,0)+IF($H$17=4,SpeakerCorrection4!H86,0)</f>
        <v>0</v>
      </c>
    </row>
    <row r="216" spans="1:8" ht="12" customHeight="1">
      <c r="A216" s="82"/>
      <c r="B216" s="4">
        <v>400</v>
      </c>
      <c r="C216" s="5" t="s">
        <v>130</v>
      </c>
      <c r="D216" s="2" t="s">
        <v>124</v>
      </c>
      <c r="E216" s="53">
        <f>IF($H$17=1,SpeakerCorrection1!E87,0)+IF($H$17=2,SpeakerCorrection2!E87,0)+IF($H$17=3,SpeakerCorrection3!E87,0)+IF($H$17=4,SpeakerCorrection4!E87,0)</f>
        <v>0</v>
      </c>
      <c r="F216" s="53">
        <f>IF($H$17=1,SpeakerCorrection1!F87,0)+IF($H$17=2,SpeakerCorrection2!F87,0)+IF($H$17=3,SpeakerCorrection3!F87,0)+IF($H$17=4,SpeakerCorrection4!F87,0)</f>
        <v>0</v>
      </c>
      <c r="G216" s="53">
        <f>IF($H$17=1,SpeakerCorrection1!G87,0)+IF($H$17=2,SpeakerCorrection2!G87,0)+IF($H$17=3,SpeakerCorrection3!G87,0)+IF($H$17=4,SpeakerCorrection4!G87,0)</f>
        <v>0</v>
      </c>
      <c r="H216" s="53">
        <f>IF($H$17=1,SpeakerCorrection1!H87,0)+IF($H$17=2,SpeakerCorrection2!H87,0)+IF($H$17=3,SpeakerCorrection3!H87,0)+IF($H$17=4,SpeakerCorrection4!H87,0)</f>
        <v>0</v>
      </c>
    </row>
    <row r="217" spans="1:8" ht="12" customHeight="1">
      <c r="A217" s="82"/>
      <c r="B217" s="4">
        <v>500</v>
      </c>
      <c r="C217" s="5" t="s">
        <v>130</v>
      </c>
      <c r="D217" s="2" t="s">
        <v>124</v>
      </c>
      <c r="E217" s="53">
        <f>IF($H$17=1,SpeakerCorrection1!E88,0)+IF($H$17=2,SpeakerCorrection2!E88,0)+IF($H$17=3,SpeakerCorrection3!E88,0)+IF($H$17=4,SpeakerCorrection4!E88,0)</f>
        <v>0</v>
      </c>
      <c r="F217" s="53">
        <f>IF($H$17=1,SpeakerCorrection1!F88,0)+IF($H$17=2,SpeakerCorrection2!F88,0)+IF($H$17=3,SpeakerCorrection3!F88,0)+IF($H$17=4,SpeakerCorrection4!F88,0)</f>
        <v>0</v>
      </c>
      <c r="G217" s="53">
        <f>IF($H$17=1,SpeakerCorrection1!G88,0)+IF($H$17=2,SpeakerCorrection2!G88,0)+IF($H$17=3,SpeakerCorrection3!G88,0)+IF($H$17=4,SpeakerCorrection4!G88,0)</f>
        <v>0</v>
      </c>
      <c r="H217" s="53">
        <f>IF($H$17=1,SpeakerCorrection1!H88,0)+IF($H$17=2,SpeakerCorrection2!H88,0)+IF($H$17=3,SpeakerCorrection3!H88,0)+IF($H$17=4,SpeakerCorrection4!H88,0)</f>
        <v>0</v>
      </c>
    </row>
    <row r="218" spans="1:8" ht="12" customHeight="1">
      <c r="A218" s="82"/>
      <c r="B218" s="4">
        <v>700</v>
      </c>
      <c r="C218" s="5" t="s">
        <v>130</v>
      </c>
      <c r="D218" s="2" t="s">
        <v>124</v>
      </c>
      <c r="E218" s="53">
        <f>IF($H$17=1,SpeakerCorrection1!E89,0)+IF($H$17=2,SpeakerCorrection2!E89,0)+IF($H$17=3,SpeakerCorrection3!E89,0)+IF($H$17=4,SpeakerCorrection4!E89,0)</f>
        <v>0</v>
      </c>
      <c r="F218" s="53">
        <f>IF($H$17=1,SpeakerCorrection1!F89,0)+IF($H$17=2,SpeakerCorrection2!F89,0)+IF($H$17=3,SpeakerCorrection3!F89,0)+IF($H$17=4,SpeakerCorrection4!F89,0)</f>
        <v>0</v>
      </c>
      <c r="G218" s="53">
        <f>IF($H$17=1,SpeakerCorrection1!G89,0)+IF($H$17=2,SpeakerCorrection2!G89,0)+IF($H$17=3,SpeakerCorrection3!G89,0)+IF($H$17=4,SpeakerCorrection4!G89,0)</f>
        <v>0</v>
      </c>
      <c r="H218" s="53">
        <f>IF($H$17=1,SpeakerCorrection1!H89,0)+IF($H$17=2,SpeakerCorrection2!H89,0)+IF($H$17=3,SpeakerCorrection3!H89,0)+IF($H$17=4,SpeakerCorrection4!H89,0)</f>
        <v>0</v>
      </c>
    </row>
    <row r="219" spans="1:8" ht="12" customHeight="1">
      <c r="A219" s="82"/>
      <c r="B219" s="4" t="s">
        <v>21</v>
      </c>
      <c r="C219" s="5" t="s">
        <v>130</v>
      </c>
      <c r="D219" s="2" t="s">
        <v>124</v>
      </c>
      <c r="E219" s="53">
        <f>IF($H$17=1,SpeakerCorrection1!E90,0)+IF($H$17=2,SpeakerCorrection2!E90,0)+IF($H$17=3,SpeakerCorrection3!E90,0)+IF($H$17=4,SpeakerCorrection4!E90,0)</f>
        <v>0</v>
      </c>
      <c r="F219" s="53">
        <f>IF($H$17=1,SpeakerCorrection1!F90,0)+IF($H$17=2,SpeakerCorrection2!F90,0)+IF($H$17=3,SpeakerCorrection3!F90,0)+IF($H$17=4,SpeakerCorrection4!F90,0)</f>
        <v>0</v>
      </c>
      <c r="G219" s="53">
        <f>IF($H$17=1,SpeakerCorrection1!G90,0)+IF($H$17=2,SpeakerCorrection2!G90,0)+IF($H$17=3,SpeakerCorrection3!G90,0)+IF($H$17=4,SpeakerCorrection4!G90,0)</f>
        <v>0</v>
      </c>
      <c r="H219" s="53">
        <f>IF($H$17=1,SpeakerCorrection1!H90,0)+IF($H$17=2,SpeakerCorrection2!H90,0)+IF($H$17=3,SpeakerCorrection3!H90,0)+IF($H$17=4,SpeakerCorrection4!H90,0)</f>
        <v>0</v>
      </c>
    </row>
    <row r="220" spans="1:8" ht="12" customHeight="1">
      <c r="A220" s="82"/>
      <c r="B220" s="4" t="s">
        <v>22</v>
      </c>
      <c r="C220" s="5" t="s">
        <v>130</v>
      </c>
      <c r="D220" s="2" t="s">
        <v>124</v>
      </c>
      <c r="E220" s="53">
        <f>IF($H$17=1,SpeakerCorrection1!E91,0)+IF($H$17=2,SpeakerCorrection2!E91,0)+IF($H$17=3,SpeakerCorrection3!E91,0)+IF($H$17=4,SpeakerCorrection4!E91,0)</f>
        <v>0</v>
      </c>
      <c r="F220" s="53">
        <f>IF($H$17=1,SpeakerCorrection1!F91,0)+IF($H$17=2,SpeakerCorrection2!F91,0)+IF($H$17=3,SpeakerCorrection3!F91,0)+IF($H$17=4,SpeakerCorrection4!F91,0)</f>
        <v>0</v>
      </c>
      <c r="G220" s="53">
        <f>IF($H$17=1,SpeakerCorrection1!G91,0)+IF($H$17=2,SpeakerCorrection2!G91,0)+IF($H$17=3,SpeakerCorrection3!G91,0)+IF($H$17=4,SpeakerCorrection4!G91,0)</f>
        <v>0</v>
      </c>
      <c r="H220" s="53">
        <f>IF($H$17=1,SpeakerCorrection1!H91,0)+IF($H$17=2,SpeakerCorrection2!H91,0)+IF($H$17=3,SpeakerCorrection3!H91,0)+IF($H$17=4,SpeakerCorrection4!H91,0)</f>
        <v>0</v>
      </c>
    </row>
    <row r="221" spans="1:8" ht="12" customHeight="1">
      <c r="A221" s="82"/>
      <c r="B221" s="4" t="s">
        <v>23</v>
      </c>
      <c r="C221" s="5" t="s">
        <v>130</v>
      </c>
      <c r="D221" s="2" t="s">
        <v>124</v>
      </c>
      <c r="E221" s="53">
        <f>IF($H$17=1,SpeakerCorrection1!E92,0)+IF($H$17=2,SpeakerCorrection2!E92,0)+IF($H$17=3,SpeakerCorrection3!E92,0)+IF($H$17=4,SpeakerCorrection4!E92,0)</f>
        <v>0</v>
      </c>
      <c r="F221" s="53">
        <f>IF($H$17=1,SpeakerCorrection1!F92,0)+IF($H$17=2,SpeakerCorrection2!F92,0)+IF($H$17=3,SpeakerCorrection3!F92,0)+IF($H$17=4,SpeakerCorrection4!F92,0)</f>
        <v>0</v>
      </c>
      <c r="G221" s="53">
        <f>IF($H$17=1,SpeakerCorrection1!G92,0)+IF($H$17=2,SpeakerCorrection2!G92,0)+IF($H$17=3,SpeakerCorrection3!G92,0)+IF($H$17=4,SpeakerCorrection4!G92,0)</f>
        <v>0</v>
      </c>
      <c r="H221" s="53">
        <f>IF($H$17=1,SpeakerCorrection1!H92,0)+IF($H$17=2,SpeakerCorrection2!H92,0)+IF($H$17=3,SpeakerCorrection3!H92,0)+IF($H$17=4,SpeakerCorrection4!H92,0)</f>
        <v>0</v>
      </c>
    </row>
    <row r="222" spans="1:8" ht="12" customHeight="1">
      <c r="A222" s="82"/>
      <c r="B222" s="4" t="s">
        <v>24</v>
      </c>
      <c r="C222" s="5" t="s">
        <v>130</v>
      </c>
      <c r="D222" s="2" t="s">
        <v>124</v>
      </c>
      <c r="E222" s="53">
        <f>IF($H$17=1,SpeakerCorrection1!E93,0)+IF($H$17=2,SpeakerCorrection2!E93,0)+IF($H$17=3,SpeakerCorrection3!E93,0)+IF($H$17=4,SpeakerCorrection4!E93,0)</f>
        <v>0</v>
      </c>
      <c r="F222" s="53">
        <f>IF($H$17=1,SpeakerCorrection1!F93,0)+IF($H$17=2,SpeakerCorrection2!F93,0)+IF($H$17=3,SpeakerCorrection3!F93,0)+IF($H$17=4,SpeakerCorrection4!F93,0)</f>
        <v>0</v>
      </c>
      <c r="G222" s="53">
        <f>IF($H$17=1,SpeakerCorrection1!G93,0)+IF($H$17=2,SpeakerCorrection2!G93,0)+IF($H$17=3,SpeakerCorrection3!G93,0)+IF($H$17=4,SpeakerCorrection4!G93,0)</f>
        <v>0</v>
      </c>
      <c r="H222" s="53">
        <f>IF($H$17=1,SpeakerCorrection1!H93,0)+IF($H$17=2,SpeakerCorrection2!H93,0)+IF($H$17=3,SpeakerCorrection3!H93,0)+IF($H$17=4,SpeakerCorrection4!H93,0)</f>
        <v>0</v>
      </c>
    </row>
    <row r="223" spans="1:8" ht="12" customHeight="1">
      <c r="A223" s="82"/>
      <c r="B223" s="4" t="s">
        <v>25</v>
      </c>
      <c r="C223" s="5" t="s">
        <v>130</v>
      </c>
      <c r="D223" s="2" t="s">
        <v>124</v>
      </c>
      <c r="E223" s="53">
        <f>IF($H$17=1,SpeakerCorrection1!E94,0)+IF($H$17=2,SpeakerCorrection2!E94,0)+IF($H$17=3,SpeakerCorrection3!E94,0)+IF($H$17=4,SpeakerCorrection4!E94,0)</f>
        <v>0</v>
      </c>
      <c r="F223" s="53">
        <f>IF($H$17=1,SpeakerCorrection1!F94,0)+IF($H$17=2,SpeakerCorrection2!F94,0)+IF($H$17=3,SpeakerCorrection3!F94,0)+IF($H$17=4,SpeakerCorrection4!F94,0)</f>
        <v>0</v>
      </c>
      <c r="G223" s="53">
        <f>IF($H$17=1,SpeakerCorrection1!G94,0)+IF($H$17=2,SpeakerCorrection2!G94,0)+IF($H$17=3,SpeakerCorrection3!G94,0)+IF($H$17=4,SpeakerCorrection4!G94,0)</f>
        <v>0</v>
      </c>
      <c r="H223" s="53">
        <f>IF($H$17=1,SpeakerCorrection1!H94,0)+IF($H$17=2,SpeakerCorrection2!H94,0)+IF($H$17=3,SpeakerCorrection3!H94,0)+IF($H$17=4,SpeakerCorrection4!H94,0)</f>
        <v>0</v>
      </c>
    </row>
    <row r="224" spans="1:8" ht="12" customHeight="1">
      <c r="A224" s="82"/>
      <c r="B224" s="4" t="s">
        <v>26</v>
      </c>
      <c r="C224" s="5" t="s">
        <v>130</v>
      </c>
      <c r="D224" s="2" t="s">
        <v>124</v>
      </c>
      <c r="E224" s="53">
        <f>IF($H$17=1,SpeakerCorrection1!E95,0)+IF($H$17=2,SpeakerCorrection2!E95,0)+IF($H$17=3,SpeakerCorrection3!E95,0)+IF($H$17=4,SpeakerCorrection4!E95,0)</f>
        <v>0</v>
      </c>
      <c r="F224" s="53">
        <f>IF($H$17=1,SpeakerCorrection1!F95,0)+IF($H$17=2,SpeakerCorrection2!F95,0)+IF($H$17=3,SpeakerCorrection3!F95,0)+IF($H$17=4,SpeakerCorrection4!F95,0)</f>
        <v>0</v>
      </c>
      <c r="G224" s="53">
        <f>IF($H$17=1,SpeakerCorrection1!G95,0)+IF($H$17=2,SpeakerCorrection2!G95,0)+IF($H$17=3,SpeakerCorrection3!G95,0)+IF($H$17=4,SpeakerCorrection4!G95,0)</f>
        <v>0</v>
      </c>
      <c r="H224" s="53">
        <f>IF($H$17=1,SpeakerCorrection1!H95,0)+IF($H$17=2,SpeakerCorrection2!H95,0)+IF($H$17=3,SpeakerCorrection3!H95,0)+IF($H$17=4,SpeakerCorrection4!H95,0)</f>
        <v>0</v>
      </c>
    </row>
    <row r="225" spans="1:8" ht="12" customHeight="1">
      <c r="A225" s="82"/>
      <c r="B225" s="4" t="s">
        <v>27</v>
      </c>
      <c r="C225" s="5" t="s">
        <v>130</v>
      </c>
      <c r="D225" s="2" t="s">
        <v>124</v>
      </c>
      <c r="E225" s="53">
        <f>IF($H$17=1,SpeakerCorrection1!E96,0)+IF($H$17=2,SpeakerCorrection2!E96,0)+IF($H$17=3,SpeakerCorrection3!E96,0)+IF($H$17=4,SpeakerCorrection4!E96,0)</f>
        <v>0</v>
      </c>
      <c r="F225" s="53">
        <f>IF($H$17=1,SpeakerCorrection1!F96,0)+IF($H$17=2,SpeakerCorrection2!F96,0)+IF($H$17=3,SpeakerCorrection3!F96,0)+IF($H$17=4,SpeakerCorrection4!F96,0)</f>
        <v>0</v>
      </c>
      <c r="G225" s="53">
        <f>IF($H$17=1,SpeakerCorrection1!G96,0)+IF($H$17=2,SpeakerCorrection2!G96,0)+IF($H$17=3,SpeakerCorrection3!G96,0)+IF($H$17=4,SpeakerCorrection4!G96,0)</f>
        <v>0</v>
      </c>
      <c r="H225" s="53">
        <f>IF($H$17=1,SpeakerCorrection1!H96,0)+IF($H$17=2,SpeakerCorrection2!H96,0)+IF($H$17=3,SpeakerCorrection3!H96,0)+IF($H$17=4,SpeakerCorrection4!H96,0)</f>
        <v>0</v>
      </c>
    </row>
    <row r="226" spans="1:8" ht="12" customHeight="1">
      <c r="A226" s="82"/>
      <c r="B226" s="4" t="s">
        <v>28</v>
      </c>
      <c r="C226" s="5" t="s">
        <v>130</v>
      </c>
      <c r="D226" s="2" t="s">
        <v>124</v>
      </c>
      <c r="E226" s="53">
        <f>IF($H$17=1,SpeakerCorrection1!E97,0)+IF($H$17=2,SpeakerCorrection2!E97,0)+IF($H$17=3,SpeakerCorrection3!E97,0)+IF($H$17=4,SpeakerCorrection4!E97,0)</f>
        <v>0</v>
      </c>
      <c r="F226" s="53">
        <f>IF($H$17=1,SpeakerCorrection1!F97,0)+IF($H$17=2,SpeakerCorrection2!F97,0)+IF($H$17=3,SpeakerCorrection3!F97,0)+IF($H$17=4,SpeakerCorrection4!F97,0)</f>
        <v>0</v>
      </c>
      <c r="G226" s="53">
        <f>IF($H$17=1,SpeakerCorrection1!G97,0)+IF($H$17=2,SpeakerCorrection2!G97,0)+IF($H$17=3,SpeakerCorrection3!G97,0)+IF($H$17=4,SpeakerCorrection4!G97,0)</f>
        <v>0</v>
      </c>
      <c r="H226" s="53">
        <f>IF($H$17=1,SpeakerCorrection1!H97,0)+IF($H$17=2,SpeakerCorrection2!H97,0)+IF($H$17=3,SpeakerCorrection3!H97,0)+IF($H$17=4,SpeakerCorrection4!H97,0)</f>
        <v>0</v>
      </c>
    </row>
    <row r="227" spans="1:8" ht="12" customHeight="1">
      <c r="A227" s="82"/>
      <c r="B227" s="4" t="s">
        <v>29</v>
      </c>
      <c r="C227" s="5" t="s">
        <v>130</v>
      </c>
      <c r="D227" s="2" t="s">
        <v>124</v>
      </c>
      <c r="E227" s="53">
        <f>IF($H$17=1,SpeakerCorrection1!E98,0)+IF($H$17=2,SpeakerCorrection2!E98,0)+IF($H$17=3,SpeakerCorrection3!E98,0)+IF($H$17=4,SpeakerCorrection4!E98,0)</f>
        <v>0</v>
      </c>
      <c r="F227" s="53">
        <f>IF($H$17=1,SpeakerCorrection1!F98,0)+IF($H$17=2,SpeakerCorrection2!F98,0)+IF($H$17=3,SpeakerCorrection3!F98,0)+IF($H$17=4,SpeakerCorrection4!F98,0)</f>
        <v>0</v>
      </c>
      <c r="G227" s="53">
        <f>IF($H$17=1,SpeakerCorrection1!G98,0)+IF($H$17=2,SpeakerCorrection2!G98,0)+IF($H$17=3,SpeakerCorrection3!G98,0)+IF($H$17=4,SpeakerCorrection4!G98,0)</f>
        <v>0</v>
      </c>
      <c r="H227" s="53">
        <f>IF($H$17=1,SpeakerCorrection1!H98,0)+IF($H$17=2,SpeakerCorrection2!H98,0)+IF($H$17=3,SpeakerCorrection3!H98,0)+IF($H$17=4,SpeakerCorrection4!H98,0)</f>
        <v>0</v>
      </c>
    </row>
    <row r="228" spans="1:8" ht="12" customHeight="1">
      <c r="A228" s="83"/>
      <c r="B228" s="4" t="s">
        <v>30</v>
      </c>
      <c r="C228" s="5" t="s">
        <v>130</v>
      </c>
      <c r="D228" s="2" t="s">
        <v>124</v>
      </c>
      <c r="E228" s="53">
        <f>IF($H$17=1,SpeakerCorrection1!E99,0)+IF($H$17=2,SpeakerCorrection2!E99,0)+IF($H$17=3,SpeakerCorrection3!E99,0)+IF($H$17=4,SpeakerCorrection4!E99,0)</f>
        <v>0</v>
      </c>
      <c r="F228" s="53">
        <f>IF($H$17=1,SpeakerCorrection1!F99,0)+IF($H$17=2,SpeakerCorrection2!F99,0)+IF($H$17=3,SpeakerCorrection3!F99,0)+IF($H$17=4,SpeakerCorrection4!F99,0)</f>
        <v>0</v>
      </c>
      <c r="G228" s="53">
        <f>IF($H$17=1,SpeakerCorrection1!G99,0)+IF($H$17=2,SpeakerCorrection2!G99,0)+IF($H$17=3,SpeakerCorrection3!G99,0)+IF($H$17=4,SpeakerCorrection4!G99,0)</f>
        <v>0</v>
      </c>
      <c r="H228" s="53">
        <f>IF($H$17=1,SpeakerCorrection1!H99,0)+IF($H$17=2,SpeakerCorrection2!H99,0)+IF($H$17=3,SpeakerCorrection3!H99,0)+IF($H$17=4,SpeakerCorrection4!H99,0)</f>
        <v>0</v>
      </c>
    </row>
  </sheetData>
  <sheetProtection password="BF23" sheet="1" objects="1" scenarios="1"/>
  <mergeCells count="21">
    <mergeCell ref="A1:F1"/>
    <mergeCell ref="A163:A184"/>
    <mergeCell ref="A141:A162"/>
    <mergeCell ref="A23:A30"/>
    <mergeCell ref="A119:A140"/>
    <mergeCell ref="A46:A52"/>
    <mergeCell ref="D17:E17"/>
    <mergeCell ref="A18:A19"/>
    <mergeCell ref="B20:C20"/>
    <mergeCell ref="A97:A118"/>
    <mergeCell ref="A75:A96"/>
    <mergeCell ref="A53:A74"/>
    <mergeCell ref="A31:A37"/>
    <mergeCell ref="A38:A45"/>
    <mergeCell ref="G16:H16"/>
    <mergeCell ref="I29:L29"/>
    <mergeCell ref="M29:M30"/>
    <mergeCell ref="M31:M52"/>
    <mergeCell ref="M53:M74"/>
    <mergeCell ref="A185:A206"/>
    <mergeCell ref="A207:A228"/>
  </mergeCells>
  <printOptions horizontalCentered="1"/>
  <pageMargins left="0.7874015748031497" right="0.3937007874015748" top="0.787401574803149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19.375" style="0" customWidth="1"/>
    <col min="2" max="2" width="14.125" style="0" customWidth="1"/>
    <col min="3" max="4" width="5.875" style="0" customWidth="1"/>
    <col min="5" max="16" width="11.125" style="0" customWidth="1"/>
  </cols>
  <sheetData>
    <row r="1" spans="1:9" ht="15" customHeight="1">
      <c r="A1" s="88" t="s">
        <v>163</v>
      </c>
      <c r="B1" s="89"/>
      <c r="C1" s="89"/>
      <c r="D1" s="89"/>
      <c r="E1" s="89"/>
      <c r="F1" s="90"/>
      <c r="G1" s="34" t="s">
        <v>150</v>
      </c>
      <c r="H1" s="35" t="s">
        <v>149</v>
      </c>
      <c r="I1" s="65" t="s">
        <v>135</v>
      </c>
    </row>
    <row r="2" spans="1:16" ht="15" customHeight="1">
      <c r="A2" s="27"/>
      <c r="B2" s="28"/>
      <c r="C2" s="28"/>
      <c r="D2" s="28"/>
      <c r="E2" s="28"/>
      <c r="F2" s="28"/>
      <c r="G2" s="28"/>
      <c r="H2" s="29"/>
      <c r="I2" s="66" t="s">
        <v>136</v>
      </c>
      <c r="J2" s="1"/>
      <c r="K2" s="1"/>
      <c r="L2" s="1"/>
      <c r="M2" s="1"/>
      <c r="N2" s="1"/>
      <c r="O2" s="1"/>
      <c r="P2" s="1"/>
    </row>
    <row r="3" spans="1:16" ht="15" customHeight="1">
      <c r="A3" s="27"/>
      <c r="B3" s="28"/>
      <c r="C3" s="28"/>
      <c r="D3" s="28"/>
      <c r="E3" s="28"/>
      <c r="F3" s="28"/>
      <c r="G3" s="28"/>
      <c r="H3" s="29"/>
      <c r="I3" s="1" t="s">
        <v>138</v>
      </c>
      <c r="J3" s="1"/>
      <c r="K3" s="1"/>
      <c r="L3" s="1"/>
      <c r="M3" s="1"/>
      <c r="N3" s="1"/>
      <c r="O3" s="1"/>
      <c r="P3" s="1"/>
    </row>
    <row r="4" spans="1:16" ht="15" customHeight="1">
      <c r="A4" s="27"/>
      <c r="B4" s="28"/>
      <c r="C4" s="28"/>
      <c r="D4" s="28"/>
      <c r="E4" s="28"/>
      <c r="F4" s="28"/>
      <c r="G4" s="28"/>
      <c r="H4" s="29"/>
      <c r="I4" s="1" t="s">
        <v>139</v>
      </c>
      <c r="J4" s="1"/>
      <c r="K4" s="1"/>
      <c r="L4" s="1"/>
      <c r="M4" s="1"/>
      <c r="N4" s="1"/>
      <c r="O4" s="1"/>
      <c r="P4" s="1"/>
    </row>
    <row r="5" spans="1:16" ht="15" customHeight="1">
      <c r="A5" s="27"/>
      <c r="B5" s="28"/>
      <c r="C5" s="28"/>
      <c r="D5" s="28"/>
      <c r="E5" s="28"/>
      <c r="F5" s="28"/>
      <c r="G5" s="28"/>
      <c r="H5" s="29"/>
      <c r="I5" s="1" t="s">
        <v>140</v>
      </c>
      <c r="J5" s="1"/>
      <c r="K5" s="1"/>
      <c r="L5" s="1"/>
      <c r="M5" s="1"/>
      <c r="N5" s="1"/>
      <c r="O5" s="1"/>
      <c r="P5" s="1"/>
    </row>
    <row r="6" spans="1:16" ht="15" customHeight="1">
      <c r="A6" s="27"/>
      <c r="B6" s="28"/>
      <c r="C6" s="28"/>
      <c r="D6" s="28"/>
      <c r="E6" s="28"/>
      <c r="F6" s="28"/>
      <c r="G6" s="28"/>
      <c r="H6" s="29"/>
      <c r="I6" s="66" t="s">
        <v>137</v>
      </c>
      <c r="J6" s="1"/>
      <c r="K6" s="1"/>
      <c r="L6" s="1"/>
      <c r="M6" s="1"/>
      <c r="N6" s="1"/>
      <c r="O6" s="1"/>
      <c r="P6" s="1"/>
    </row>
    <row r="7" spans="1:16" ht="15" customHeight="1">
      <c r="A7" s="27"/>
      <c r="B7" s="28"/>
      <c r="C7" s="28"/>
      <c r="D7" s="28"/>
      <c r="E7" s="28"/>
      <c r="F7" s="28"/>
      <c r="G7" s="28"/>
      <c r="H7" s="29"/>
      <c r="I7" s="1" t="s">
        <v>141</v>
      </c>
      <c r="J7" s="1"/>
      <c r="K7" s="1"/>
      <c r="L7" s="1"/>
      <c r="M7" s="1"/>
      <c r="N7" s="1"/>
      <c r="O7" s="1"/>
      <c r="P7" s="1"/>
    </row>
    <row r="8" spans="1:16" ht="15" customHeight="1">
      <c r="A8" s="27"/>
      <c r="B8" s="28"/>
      <c r="C8" s="28"/>
      <c r="D8" s="28"/>
      <c r="E8" s="28"/>
      <c r="F8" s="28"/>
      <c r="G8" s="28"/>
      <c r="H8" s="29"/>
      <c r="I8" s="1" t="s">
        <v>142</v>
      </c>
      <c r="J8" s="1"/>
      <c r="K8" s="1"/>
      <c r="L8" s="1"/>
      <c r="M8" s="1"/>
      <c r="N8" s="1"/>
      <c r="O8" s="1"/>
      <c r="P8" s="1"/>
    </row>
    <row r="9" spans="1:16" ht="15" customHeight="1">
      <c r="A9" s="27"/>
      <c r="B9" s="28"/>
      <c r="C9" s="28"/>
      <c r="D9" s="28"/>
      <c r="E9" s="28"/>
      <c r="F9" s="28"/>
      <c r="G9" s="28"/>
      <c r="H9" s="29"/>
      <c r="I9" s="1" t="s">
        <v>143</v>
      </c>
      <c r="J9" s="1"/>
      <c r="K9" s="1"/>
      <c r="L9" s="1"/>
      <c r="M9" s="1"/>
      <c r="N9" s="1"/>
      <c r="O9" s="1"/>
      <c r="P9" s="1"/>
    </row>
    <row r="10" spans="1:16" ht="15" customHeight="1">
      <c r="A10" s="27"/>
      <c r="B10" s="28"/>
      <c r="C10" s="28"/>
      <c r="D10" s="28"/>
      <c r="E10" s="28"/>
      <c r="F10" s="28"/>
      <c r="G10" s="28"/>
      <c r="H10" s="29"/>
      <c r="I10" s="1" t="s">
        <v>144</v>
      </c>
      <c r="J10" s="1"/>
      <c r="K10" s="1"/>
      <c r="L10" s="1"/>
      <c r="M10" s="1"/>
      <c r="N10" s="1"/>
      <c r="O10" s="1"/>
      <c r="P10" s="1"/>
    </row>
    <row r="11" spans="1:16" ht="15" customHeight="1">
      <c r="A11" s="27"/>
      <c r="B11" s="28"/>
      <c r="C11" s="28"/>
      <c r="D11" s="28"/>
      <c r="E11" s="28"/>
      <c r="F11" s="28"/>
      <c r="G11" s="28"/>
      <c r="H11" s="29"/>
      <c r="I11" s="1" t="s">
        <v>145</v>
      </c>
      <c r="J11" s="1"/>
      <c r="K11" s="1"/>
      <c r="L11" s="1"/>
      <c r="M11" s="1"/>
      <c r="N11" s="1"/>
      <c r="O11" s="1"/>
      <c r="P11" s="1"/>
    </row>
    <row r="12" spans="1:16" ht="15" customHeight="1">
      <c r="A12" s="27"/>
      <c r="B12" s="28"/>
      <c r="C12" s="28"/>
      <c r="D12" s="28"/>
      <c r="E12" s="28"/>
      <c r="F12" s="28"/>
      <c r="G12" s="28"/>
      <c r="H12" s="29"/>
      <c r="I12" s="1" t="s">
        <v>147</v>
      </c>
      <c r="J12" s="1"/>
      <c r="K12" s="1"/>
      <c r="L12" s="1"/>
      <c r="M12" s="1"/>
      <c r="N12" s="1"/>
      <c r="O12" s="1"/>
      <c r="P12" s="1"/>
    </row>
    <row r="13" spans="1:16" ht="15" customHeight="1">
      <c r="A13" s="27"/>
      <c r="B13" s="28"/>
      <c r="C13" s="28"/>
      <c r="D13" s="28"/>
      <c r="E13" s="28"/>
      <c r="F13" s="28"/>
      <c r="G13" s="28"/>
      <c r="H13" s="29"/>
      <c r="I13" s="1" t="s">
        <v>146</v>
      </c>
      <c r="J13" s="1"/>
      <c r="K13" s="1"/>
      <c r="L13" s="1"/>
      <c r="M13" s="1"/>
      <c r="N13" s="1"/>
      <c r="O13" s="1"/>
      <c r="P13" s="1"/>
    </row>
    <row r="14" spans="1:16" ht="15" customHeight="1">
      <c r="A14" s="27"/>
      <c r="B14" s="28"/>
      <c r="C14" s="28"/>
      <c r="D14" s="28"/>
      <c r="E14" s="28"/>
      <c r="F14" s="28"/>
      <c r="G14" s="28"/>
      <c r="H14" s="29"/>
      <c r="I14" s="118" t="s">
        <v>218</v>
      </c>
      <c r="J14" s="1"/>
      <c r="K14" s="1"/>
      <c r="L14" s="1"/>
      <c r="M14" s="1"/>
      <c r="N14" s="1"/>
      <c r="O14" s="1"/>
      <c r="P14" s="1"/>
    </row>
    <row r="15" spans="1:16" ht="15" customHeight="1">
      <c r="A15" s="27"/>
      <c r="B15" s="28"/>
      <c r="C15" s="28"/>
      <c r="D15" s="28"/>
      <c r="E15" s="28"/>
      <c r="F15" s="28"/>
      <c r="G15" s="28"/>
      <c r="H15" s="29"/>
      <c r="I15" s="117" t="s">
        <v>219</v>
      </c>
      <c r="J15" s="1"/>
      <c r="K15" s="1"/>
      <c r="L15" s="1"/>
      <c r="M15" s="1"/>
      <c r="N15" s="1"/>
      <c r="O15" s="1"/>
      <c r="P15" s="1"/>
    </row>
    <row r="16" spans="1:16" ht="15" customHeight="1">
      <c r="A16" s="13" t="s">
        <v>92</v>
      </c>
      <c r="B16" s="12" t="s">
        <v>99</v>
      </c>
      <c r="C16" s="13" t="s">
        <v>162</v>
      </c>
      <c r="D16" s="2" t="s">
        <v>130</v>
      </c>
      <c r="E16" s="18">
        <v>500</v>
      </c>
      <c r="F16" s="18">
        <v>4000</v>
      </c>
      <c r="G16" s="84" t="s">
        <v>217</v>
      </c>
      <c r="H16" s="85"/>
      <c r="I16" s="119" t="s">
        <v>220</v>
      </c>
      <c r="J16" s="1"/>
      <c r="K16" s="1"/>
      <c r="L16" s="1"/>
      <c r="M16" s="1"/>
      <c r="N16" s="1"/>
      <c r="O16" s="1"/>
      <c r="P16" s="1"/>
    </row>
    <row r="17" spans="1:16" ht="15" customHeight="1">
      <c r="A17" s="39" t="s">
        <v>93</v>
      </c>
      <c r="B17" s="12" t="s">
        <v>100</v>
      </c>
      <c r="C17" s="13"/>
      <c r="D17" s="2" t="s">
        <v>128</v>
      </c>
      <c r="E17" s="23">
        <v>-3.0102999566398125</v>
      </c>
      <c r="F17" s="36"/>
      <c r="G17" s="43" t="s">
        <v>113</v>
      </c>
      <c r="H17" s="44"/>
      <c r="I17" s="117" t="s">
        <v>221</v>
      </c>
      <c r="J17" s="1"/>
      <c r="K17" s="1"/>
      <c r="L17" s="1"/>
      <c r="M17" s="1"/>
      <c r="N17" s="1"/>
      <c r="O17" s="1"/>
      <c r="P17" s="1"/>
    </row>
    <row r="18" spans="1:16" ht="15" customHeight="1">
      <c r="A18" s="93" t="s">
        <v>94</v>
      </c>
      <c r="B18" s="12" t="s">
        <v>101</v>
      </c>
      <c r="C18" s="13" t="s">
        <v>170</v>
      </c>
      <c r="D18" s="2" t="s">
        <v>131</v>
      </c>
      <c r="E18" s="3">
        <f>$H$21*10^3/(2*PI()*E$16)*2^0.5</f>
        <v>2.7009489484713187</v>
      </c>
      <c r="F18" s="3">
        <f>1/((2*PI()*(E16*F16)^0.5)^2*G19*10^(-6))*10^3</f>
        <v>2.3633303299124035</v>
      </c>
      <c r="G18" s="3">
        <f>$H$21*10^3/(2*PI()*(F16-E16))*2^0.5</f>
        <v>0.38584984978161696</v>
      </c>
      <c r="H18" s="3">
        <f>$H$21*10^3/(2*PI()*F$16)*2^0.5</f>
        <v>0.33761861855891484</v>
      </c>
      <c r="I18" s="117" t="s">
        <v>222</v>
      </c>
      <c r="J18" s="1"/>
      <c r="K18" s="1"/>
      <c r="L18" s="1"/>
      <c r="M18" s="1"/>
      <c r="N18" s="1"/>
      <c r="O18" s="1"/>
      <c r="P18" s="1"/>
    </row>
    <row r="19" spans="1:16" ht="15" customHeight="1">
      <c r="A19" s="94"/>
      <c r="B19" s="12" t="s">
        <v>102</v>
      </c>
      <c r="C19" s="13" t="s">
        <v>171</v>
      </c>
      <c r="D19" s="67" t="s">
        <v>132</v>
      </c>
      <c r="E19" s="3">
        <f>10^6/(2*PI()*E$16*$H$21)/2^0.5</f>
        <v>37.51317983987942</v>
      </c>
      <c r="F19" s="3">
        <f>1/((2*PI()*(E16*F16)^0.5)^2*G18*10^(-3))*10^6</f>
        <v>32.82403235989448</v>
      </c>
      <c r="G19" s="3">
        <f>10^6/(2*PI()*(F16-E16)*$H$21)/2^0.5</f>
        <v>5.359025691411346</v>
      </c>
      <c r="H19" s="3">
        <f>10^6/(2*PI()*F$16*$H$21)/2^0.5</f>
        <v>4.6891474799849275</v>
      </c>
      <c r="I19" s="117" t="s">
        <v>223</v>
      </c>
      <c r="J19" s="1"/>
      <c r="K19" s="1"/>
      <c r="L19" s="1"/>
      <c r="M19" s="1"/>
      <c r="N19" s="1"/>
      <c r="O19" s="1"/>
      <c r="P19" s="1"/>
    </row>
    <row r="20" spans="1:16" ht="12" customHeight="1">
      <c r="A20" s="33" t="s">
        <v>95</v>
      </c>
      <c r="B20" s="91" t="s">
        <v>103</v>
      </c>
      <c r="C20" s="92"/>
      <c r="D20" s="33" t="s">
        <v>111</v>
      </c>
      <c r="E20" s="2" t="s">
        <v>148</v>
      </c>
      <c r="F20" s="2" t="s">
        <v>151</v>
      </c>
      <c r="G20" s="2" t="s">
        <v>155</v>
      </c>
      <c r="H20" s="2" t="s">
        <v>152</v>
      </c>
      <c r="I20" s="117" t="s">
        <v>224</v>
      </c>
      <c r="J20" s="1"/>
      <c r="K20" s="1"/>
      <c r="L20" s="1"/>
      <c r="M20" s="1"/>
      <c r="N20" s="1"/>
      <c r="O20" s="1"/>
      <c r="P20" s="1"/>
    </row>
    <row r="21" spans="1:16" ht="12" customHeight="1">
      <c r="A21" s="13" t="s">
        <v>96</v>
      </c>
      <c r="B21" s="16" t="s">
        <v>182</v>
      </c>
      <c r="C21" s="17" t="s">
        <v>75</v>
      </c>
      <c r="D21" s="2" t="s">
        <v>127</v>
      </c>
      <c r="E21" s="46">
        <v>6</v>
      </c>
      <c r="F21" s="46">
        <v>6</v>
      </c>
      <c r="G21" s="46">
        <v>6</v>
      </c>
      <c r="H21" s="19">
        <v>6</v>
      </c>
      <c r="I21" s="117" t="s">
        <v>225</v>
      </c>
      <c r="J21" s="1"/>
      <c r="K21" s="1"/>
      <c r="L21" s="1"/>
      <c r="M21" s="1"/>
      <c r="N21" s="1"/>
      <c r="O21" s="1"/>
      <c r="P21" s="1"/>
    </row>
    <row r="22" spans="1:16" ht="12" customHeight="1">
      <c r="A22" s="12" t="s">
        <v>97</v>
      </c>
      <c r="B22" s="16" t="s">
        <v>182</v>
      </c>
      <c r="C22" s="13" t="s">
        <v>86</v>
      </c>
      <c r="D22" s="2" t="s">
        <v>133</v>
      </c>
      <c r="E22" s="46">
        <v>91</v>
      </c>
      <c r="F22" s="46">
        <v>91</v>
      </c>
      <c r="G22" s="46">
        <v>91</v>
      </c>
      <c r="H22" s="8">
        <v>91</v>
      </c>
      <c r="I22" s="1"/>
      <c r="J22" s="1"/>
      <c r="K22" s="1"/>
      <c r="L22" s="1"/>
      <c r="M22" s="1"/>
      <c r="N22" s="1"/>
      <c r="O22" s="1"/>
      <c r="P22" s="1"/>
    </row>
    <row r="23" spans="1:16" ht="12" customHeight="1">
      <c r="A23" s="95" t="s">
        <v>98</v>
      </c>
      <c r="B23" s="12" t="s">
        <v>107</v>
      </c>
      <c r="C23" s="13" t="s">
        <v>87</v>
      </c>
      <c r="D23" s="2" t="s">
        <v>134</v>
      </c>
      <c r="E23" s="8">
        <v>6</v>
      </c>
      <c r="F23" s="8">
        <v>6</v>
      </c>
      <c r="G23" s="8">
        <v>6</v>
      </c>
      <c r="H23" s="23"/>
      <c r="I23" s="1"/>
      <c r="J23" s="1"/>
      <c r="K23" s="1"/>
      <c r="L23" s="1"/>
      <c r="M23" s="1"/>
      <c r="N23" s="1"/>
      <c r="O23" s="1"/>
      <c r="P23" s="1"/>
    </row>
    <row r="24" spans="1:16" ht="12" customHeight="1">
      <c r="A24" s="96"/>
      <c r="B24" s="12" t="s">
        <v>104</v>
      </c>
      <c r="C24" s="13" t="s">
        <v>85</v>
      </c>
      <c r="D24" s="2" t="s">
        <v>133</v>
      </c>
      <c r="E24" s="8">
        <v>91</v>
      </c>
      <c r="F24" s="8">
        <v>91</v>
      </c>
      <c r="G24" s="8">
        <v>91</v>
      </c>
      <c r="H24" s="14"/>
      <c r="I24" s="1"/>
      <c r="J24" s="1"/>
      <c r="K24" s="1"/>
      <c r="L24" s="1"/>
      <c r="M24" s="1"/>
      <c r="N24" s="1"/>
      <c r="O24" s="1"/>
      <c r="P24" s="1"/>
    </row>
    <row r="25" spans="1:16" ht="12" customHeight="1">
      <c r="A25" s="96"/>
      <c r="B25" s="12" t="s">
        <v>105</v>
      </c>
      <c r="C25" s="13" t="s">
        <v>12</v>
      </c>
      <c r="D25" s="2"/>
      <c r="E25" s="9">
        <v>1</v>
      </c>
      <c r="F25" s="9">
        <v>1</v>
      </c>
      <c r="G25" s="9">
        <v>1</v>
      </c>
      <c r="H25" s="14"/>
      <c r="I25" s="1"/>
      <c r="J25" s="1"/>
      <c r="K25" s="1"/>
      <c r="L25" s="1"/>
      <c r="M25" s="1"/>
      <c r="N25" s="1"/>
      <c r="O25" s="1"/>
      <c r="P25" s="1"/>
    </row>
    <row r="26" spans="1:16" ht="12" customHeight="1">
      <c r="A26" s="96"/>
      <c r="B26" s="12" t="s">
        <v>106</v>
      </c>
      <c r="C26" s="13" t="s">
        <v>153</v>
      </c>
      <c r="D26" s="2" t="s">
        <v>134</v>
      </c>
      <c r="E26" s="14" t="str">
        <f>IF(E$21*E$22*E$23*E$24=0,"",IF(E$25=0,"",IF(E$22&gt;E$24+10*LOG(E$21/E$23),"Unable",IF(E$23/(10^((E$22-E$24-10*LOG(E$21/E$23))/20))-E$21=0,"Blank",IF(E$25=0,"",E$21*E$23/ABS(E$23/(10^((E$22-E$24-10*LOG(E$21/E$23))/20))-E$21))))))</f>
        <v>Blank</v>
      </c>
      <c r="F26" s="14" t="str">
        <f>IF(F$21*F$22*F$23*F$24=0,"",IF(F$25=0,"",IF(F$22&gt;F$24+10*LOG(F$21/F$23),"Unable",IF(F$23/(10^((F$22-F$24-10*LOG(F$21/F$23))/20))-F$21=0,"Blank",IF(F$25=0,"",F$21*F$23/ABS(F$23/(10^((F$22-F$24-10*LOG(F$21/F$23))/20))-F$21))))))</f>
        <v>Blank</v>
      </c>
      <c r="G26" s="14" t="str">
        <f>IF(G$21*G$22*G$23*G$24=0,"",IF(G$25=0,"",IF(G$22&gt;G$24+10*LOG(G$21/G$23),"Unable",IF(G$23/(10^((G$22-G$24-10*LOG(G$21/G$23))/20))-G$21=0,"Blank",IF(G$25=0,"",G$21*G$23/ABS(G$23/(10^((G$22-G$24-10*LOG(G$21/G$23))/20))-G$21))))))</f>
        <v>Blank</v>
      </c>
      <c r="H26" s="23"/>
      <c r="I26" s="1"/>
      <c r="J26" s="1"/>
      <c r="K26" s="1"/>
      <c r="L26" s="1"/>
      <c r="M26" s="1"/>
      <c r="N26" s="1"/>
      <c r="O26" s="1"/>
      <c r="P26" s="1"/>
    </row>
    <row r="27" spans="1:16" ht="12" customHeight="1">
      <c r="A27" s="96"/>
      <c r="B27" s="12" t="s">
        <v>108</v>
      </c>
      <c r="C27" s="13" t="s">
        <v>154</v>
      </c>
      <c r="D27" s="2" t="s">
        <v>134</v>
      </c>
      <c r="E27" s="14">
        <f>IF(E$21*E$22*E$23*E$24=0,"",IF(E$25=0,"",IF(E$24+E$30&lt;E$22,"Unable",IF(E$26="Unable","Unable",IF(E$26="Blank",E$21-E$23,E$21-E$26*E$23/(E$26+E$23))))))</f>
        <v>0</v>
      </c>
      <c r="F27" s="14">
        <f>IF(F$21*F$22*F$23*F$24=0,"",IF(F$25=0,"",IF(F$24+F$30&lt;F$22,"Unable",IF(F$26="Unable","Unable",IF(F$26="Blank",F$21-F$23,F$21-F$26*F$23/(F$26+F$23))))))</f>
        <v>0</v>
      </c>
      <c r="G27" s="14">
        <f>IF(G$21*G$22*G$23*G$24=0,"",IF(G$25=0,"",IF(G$24+G$30&lt;G$22,"Unable",IF(G$26="Unable","Unable",IF(G$26="Blank",G$21-G$23,G$21-G$26*G$23/(G$26+G$23))))))</f>
        <v>0</v>
      </c>
      <c r="H27" s="14"/>
      <c r="I27" s="1"/>
      <c r="J27" s="1"/>
      <c r="K27" s="1"/>
      <c r="L27" s="1"/>
      <c r="M27" s="1"/>
      <c r="N27" s="1"/>
      <c r="O27" s="1"/>
      <c r="P27" s="1"/>
    </row>
    <row r="28" spans="1:16" ht="12" customHeight="1">
      <c r="A28" s="96"/>
      <c r="B28" s="12" t="s">
        <v>109</v>
      </c>
      <c r="C28" s="22" t="s">
        <v>76</v>
      </c>
      <c r="D28" s="2" t="s">
        <v>134</v>
      </c>
      <c r="E28" s="23">
        <f>IF(E$21*E$22*E$23*E$24=0,"",IF(E$25=1,E$21,E$23))</f>
        <v>6</v>
      </c>
      <c r="F28" s="23">
        <f>IF(F$21*F$22*F$23*F$24=0,"",IF(F$25=1,F$21,F$23))</f>
        <v>6</v>
      </c>
      <c r="G28" s="23">
        <f>IF(G$21*G$22*G$23*G$24=0,"",IF(G$25=1,G$21,G$23))</f>
        <v>6</v>
      </c>
      <c r="H28" s="14"/>
      <c r="I28" s="1"/>
      <c r="J28" s="1"/>
      <c r="K28" s="1"/>
      <c r="L28" s="1"/>
      <c r="M28" s="1"/>
      <c r="N28" s="1"/>
      <c r="O28" s="1"/>
      <c r="P28" s="1"/>
    </row>
    <row r="29" spans="1:16" ht="12" customHeight="1">
      <c r="A29" s="96"/>
      <c r="B29" s="12" t="s">
        <v>110</v>
      </c>
      <c r="C29" s="13" t="s">
        <v>77</v>
      </c>
      <c r="D29" s="2" t="s">
        <v>112</v>
      </c>
      <c r="E29" s="14">
        <f>IF(E$21*E$22*E$23*E$24=0,"",10^(E$30/20))</f>
        <v>1</v>
      </c>
      <c r="F29" s="14">
        <f>IF(F$21*F$22*F$23*F$24=0,"",10^(F$30/20))</f>
        <v>1</v>
      </c>
      <c r="G29" s="14">
        <f>IF(G$21*G$22*G$23*G$24=0,"",10^(G$30/20))</f>
        <v>1</v>
      </c>
      <c r="H29" s="14"/>
      <c r="I29" s="73" t="s">
        <v>210</v>
      </c>
      <c r="J29" s="74"/>
      <c r="K29" s="74"/>
      <c r="L29" s="75"/>
      <c r="M29" s="76"/>
      <c r="N29" s="1"/>
      <c r="O29" s="1"/>
      <c r="P29" s="1"/>
    </row>
    <row r="30" spans="1:16" ht="12" customHeight="1">
      <c r="A30" s="97"/>
      <c r="B30" s="12" t="s">
        <v>110</v>
      </c>
      <c r="C30" s="13" t="s">
        <v>77</v>
      </c>
      <c r="D30" s="2" t="s">
        <v>125</v>
      </c>
      <c r="E30" s="14">
        <f>IF(E$21*E$22*E$23*E$24=0,"",IF(E$25=1,0,E$24-E$22+10*LOG(E$21/E$23)))</f>
        <v>0</v>
      </c>
      <c r="F30" s="14">
        <f>IF(F$21*F$22*F$23*F$24=0,"",IF(F$25=1,0,F$24-F$22+10*LOG(F$21/F$23)))</f>
        <v>0</v>
      </c>
      <c r="G30" s="14">
        <f>IF(G$21*G$22*G$23*G$24=0,"",IF(G$25=1,0,G$24-G$22+10*LOG(G$21/G$23)))</f>
        <v>0</v>
      </c>
      <c r="H30" s="14"/>
      <c r="I30" s="2" t="s">
        <v>211</v>
      </c>
      <c r="J30" s="2" t="s">
        <v>212</v>
      </c>
      <c r="K30" s="2" t="s">
        <v>213</v>
      </c>
      <c r="L30" s="2" t="s">
        <v>214</v>
      </c>
      <c r="M30" s="77"/>
      <c r="N30" s="1"/>
      <c r="O30" s="1"/>
      <c r="P30" s="1"/>
    </row>
    <row r="31" spans="1:13" ht="12" customHeight="1">
      <c r="A31" s="81" t="s">
        <v>114</v>
      </c>
      <c r="B31" s="4">
        <v>20</v>
      </c>
      <c r="C31" s="5" t="s">
        <v>130</v>
      </c>
      <c r="D31" s="68" t="s">
        <v>129</v>
      </c>
      <c r="E31" s="3">
        <f>6/(H141^2+H163^2)^0.5/$H$21</f>
        <v>6.00000634496212</v>
      </c>
      <c r="F31" s="3"/>
      <c r="G31" s="58" t="s">
        <v>161</v>
      </c>
      <c r="H31" s="3">
        <f>10*LOG((10^((IF($H$17=0,0,E185)+E$22-H$22+E$30+20*LOG(E119*E$28/((E97^2*E119^2+E$28^2*(E97-E119)^2)^0.5)))/20))^2+(10^((IF($H$17=0,0,F185)+F$22-H$22+F$30+20*LOG(F$28*F97*G119/((F$28*F97*G119-F$28*(F97-G119)*(G97-F119))^2+(F97*G119*(G97-F119))^2)^0.5))/20))^2+(10^((IF($H$17=0,0,G185)+G$22-H$22+G$30+20*LOG((H97*G$28/(H97^2*H119^2+G$28^2*(H97-H119)^2)^0.5)))/20))^2)+$L31</f>
        <v>-4.592844767028502E-06</v>
      </c>
      <c r="I31" s="71"/>
      <c r="J31" s="71"/>
      <c r="K31" s="71"/>
      <c r="L31" s="72">
        <v>0</v>
      </c>
      <c r="M31" s="78" t="s">
        <v>215</v>
      </c>
    </row>
    <row r="32" spans="1:13" ht="12" customHeight="1">
      <c r="A32" s="86"/>
      <c r="B32" s="4">
        <v>30</v>
      </c>
      <c r="C32" s="5" t="s">
        <v>130</v>
      </c>
      <c r="D32" s="68" t="s">
        <v>129</v>
      </c>
      <c r="E32" s="3">
        <f aca="true" t="shared" si="0" ref="E32:E52">6/(H142^2+H164^2)^0.5/$H$21</f>
        <v>6.000032073528839</v>
      </c>
      <c r="F32" s="3"/>
      <c r="G32" s="3">
        <f>IF(ABS($H76-$H75)&gt;180,ABS(360-ABS($H76-$H75))/($B98-$B97),ABS($H76-$H75)/($B98-$B97))*10</f>
        <v>1.6236554637482516</v>
      </c>
      <c r="H32" s="3">
        <f aca="true" t="shared" si="1" ref="H32:H52">10*LOG((10^((IF($H$17=0,0,E186)+E$22-H$22+E$30+20*LOG(E120*E$28/((E98^2*E120^2+E$28^2*(E98-E120)^2)^0.5)))/20))^2+(10^((IF($H$17=0,0,F186)+F$22-H$22+F$30+20*LOG(F$28*F98*G120/((F$28*F98*G120-F$28*(F98-G120)*(G98-F120))^2+(F98*G120*(G98-F120))^2)^0.5))/20))^2+(10^((IF($H$17=0,0,G186)+G$22-H$22+G$30+20*LOG((H98*G$28/(H98^2*H120^2+G$28^2*(H98-H120)^2)^0.5)))/20))^2)+$L32</f>
        <v>-2.321789653306547E-05</v>
      </c>
      <c r="I32" s="71"/>
      <c r="J32" s="71"/>
      <c r="K32" s="71"/>
      <c r="L32" s="72">
        <v>0</v>
      </c>
      <c r="M32" s="79"/>
    </row>
    <row r="33" spans="1:13" ht="12" customHeight="1">
      <c r="A33" s="86"/>
      <c r="B33" s="4">
        <v>40</v>
      </c>
      <c r="C33" s="5" t="s">
        <v>130</v>
      </c>
      <c r="D33" s="68" t="s">
        <v>129</v>
      </c>
      <c r="E33" s="3">
        <f t="shared" si="0"/>
        <v>6.000101154868925</v>
      </c>
      <c r="F33" s="3"/>
      <c r="G33" s="3">
        <f aca="true" t="shared" si="2" ref="G33:G52">IF(ABS($H77-$H76)&gt;180,ABS(360-ABS($H77-$H76))/($B99-$B98),ABS($H77-$H76)/($B99-$B98))*10</f>
        <v>1.6265638041711687</v>
      </c>
      <c r="H33" s="3">
        <f t="shared" si="1"/>
        <v>-7.323074392712559E-05</v>
      </c>
      <c r="I33" s="71"/>
      <c r="J33" s="71"/>
      <c r="K33" s="71"/>
      <c r="L33" s="72">
        <v>0</v>
      </c>
      <c r="M33" s="79"/>
    </row>
    <row r="34" spans="1:13" ht="12" customHeight="1">
      <c r="A34" s="86"/>
      <c r="B34" s="4">
        <v>50</v>
      </c>
      <c r="C34" s="5" t="s">
        <v>130</v>
      </c>
      <c r="D34" s="68" t="s">
        <v>129</v>
      </c>
      <c r="E34" s="3">
        <f t="shared" si="0"/>
        <v>6.000246283677071</v>
      </c>
      <c r="F34" s="3"/>
      <c r="G34" s="3">
        <f t="shared" si="2"/>
        <v>1.6304181913125984</v>
      </c>
      <c r="H34" s="3">
        <f t="shared" si="1"/>
        <v>-0.00017831084319521755</v>
      </c>
      <c r="I34" s="71"/>
      <c r="J34" s="71"/>
      <c r="K34" s="71"/>
      <c r="L34" s="72">
        <v>0</v>
      </c>
      <c r="M34" s="79"/>
    </row>
    <row r="35" spans="1:13" ht="12" customHeight="1">
      <c r="A35" s="86"/>
      <c r="B35" s="4">
        <v>70</v>
      </c>
      <c r="C35" s="5" t="s">
        <v>130</v>
      </c>
      <c r="D35" s="68" t="s">
        <v>129</v>
      </c>
      <c r="E35" s="3">
        <f t="shared" si="0"/>
        <v>6.000939048814826</v>
      </c>
      <c r="F35" s="3"/>
      <c r="G35" s="3">
        <f t="shared" si="2"/>
        <v>1.638038871640326</v>
      </c>
      <c r="H35" s="3">
        <f t="shared" si="1"/>
        <v>-0.0006799929509140999</v>
      </c>
      <c r="I35" s="71"/>
      <c r="J35" s="71"/>
      <c r="K35" s="71"/>
      <c r="L35" s="72">
        <v>0</v>
      </c>
      <c r="M35" s="79"/>
    </row>
    <row r="36" spans="1:13" ht="12" customHeight="1">
      <c r="A36" s="86"/>
      <c r="B36" s="4">
        <v>100</v>
      </c>
      <c r="C36" s="5" t="s">
        <v>130</v>
      </c>
      <c r="D36" s="68" t="s">
        <v>129</v>
      </c>
      <c r="E36" s="3">
        <f t="shared" si="0"/>
        <v>6.0038455461481055</v>
      </c>
      <c r="F36" s="3"/>
      <c r="G36" s="3">
        <f t="shared" si="2"/>
        <v>1.6550799501912508</v>
      </c>
      <c r="H36" s="3">
        <f t="shared" si="1"/>
        <v>-0.002785071427991645</v>
      </c>
      <c r="I36" s="71"/>
      <c r="J36" s="71"/>
      <c r="K36" s="71"/>
      <c r="L36" s="72">
        <v>0</v>
      </c>
      <c r="M36" s="79"/>
    </row>
    <row r="37" spans="1:13" ht="12" customHeight="1">
      <c r="A37" s="86"/>
      <c r="B37" s="4">
        <v>150</v>
      </c>
      <c r="C37" s="5" t="s">
        <v>130</v>
      </c>
      <c r="D37" s="68" t="s">
        <v>129</v>
      </c>
      <c r="E37" s="3">
        <f t="shared" si="0"/>
        <v>6.018570550436199</v>
      </c>
      <c r="F37" s="3"/>
      <c r="G37" s="3">
        <f t="shared" si="2"/>
        <v>1.6923810978546618</v>
      </c>
      <c r="H37" s="3">
        <f t="shared" si="1"/>
        <v>-0.013438758723183274</v>
      </c>
      <c r="I37" s="71"/>
      <c r="J37" s="71"/>
      <c r="K37" s="71"/>
      <c r="L37" s="72">
        <v>0</v>
      </c>
      <c r="M37" s="79"/>
    </row>
    <row r="38" spans="1:13" ht="12" customHeight="1">
      <c r="A38" s="82" t="s">
        <v>167</v>
      </c>
      <c r="B38" s="4">
        <v>200</v>
      </c>
      <c r="C38" s="5" t="s">
        <v>130</v>
      </c>
      <c r="D38" s="68" t="s">
        <v>129</v>
      </c>
      <c r="E38" s="3">
        <f t="shared" si="0"/>
        <v>6.054103694174739</v>
      </c>
      <c r="F38" s="3"/>
      <c r="G38" s="3">
        <f t="shared" si="2"/>
        <v>1.7506252252113037</v>
      </c>
      <c r="H38" s="3">
        <f t="shared" si="1"/>
        <v>-0.039026420162561776</v>
      </c>
      <c r="I38" s="71"/>
      <c r="J38" s="71"/>
      <c r="K38" s="71"/>
      <c r="L38" s="72">
        <v>0</v>
      </c>
      <c r="M38" s="79"/>
    </row>
    <row r="39" spans="1:13" ht="12" customHeight="1">
      <c r="A39" s="86"/>
      <c r="B39" s="4">
        <v>300</v>
      </c>
      <c r="C39" s="5" t="s">
        <v>130</v>
      </c>
      <c r="D39" s="68" t="s">
        <v>129</v>
      </c>
      <c r="E39" s="3">
        <f t="shared" si="0"/>
        <v>6.1918838031798415</v>
      </c>
      <c r="F39" s="3"/>
      <c r="G39" s="3">
        <f t="shared" si="2"/>
        <v>1.843563826084982</v>
      </c>
      <c r="H39" s="3">
        <f t="shared" si="1"/>
        <v>-0.1368092366709395</v>
      </c>
      <c r="I39" s="71"/>
      <c r="J39" s="71"/>
      <c r="K39" s="71"/>
      <c r="L39" s="72">
        <v>0</v>
      </c>
      <c r="M39" s="79"/>
    </row>
    <row r="40" spans="1:13" ht="12" customHeight="1">
      <c r="A40" s="86"/>
      <c r="B40" s="4">
        <v>400</v>
      </c>
      <c r="C40" s="5" t="s">
        <v>130</v>
      </c>
      <c r="D40" s="68" t="s">
        <v>129</v>
      </c>
      <c r="E40" s="3">
        <f t="shared" si="0"/>
        <v>6.238190528172279</v>
      </c>
      <c r="F40" s="3"/>
      <c r="G40" s="3">
        <f t="shared" si="2"/>
        <v>1.932728783948329</v>
      </c>
      <c r="H40" s="3">
        <f t="shared" si="1"/>
        <v>-0.17483531427764654</v>
      </c>
      <c r="I40" s="71"/>
      <c r="J40" s="71"/>
      <c r="K40" s="71"/>
      <c r="L40" s="72">
        <v>0</v>
      </c>
      <c r="M40" s="79"/>
    </row>
    <row r="41" spans="1:13" ht="12" customHeight="1">
      <c r="A41" s="86"/>
      <c r="B41" s="4">
        <v>500</v>
      </c>
      <c r="C41" s="5" t="s">
        <v>130</v>
      </c>
      <c r="D41" s="68" t="s">
        <v>129</v>
      </c>
      <c r="E41" s="3">
        <f t="shared" si="0"/>
        <v>5.974536012513795</v>
      </c>
      <c r="F41" s="3"/>
      <c r="G41" s="3">
        <f t="shared" si="2"/>
        <v>1.9281792014668084</v>
      </c>
      <c r="H41" s="3">
        <f t="shared" si="1"/>
        <v>0.0010588497029364505</v>
      </c>
      <c r="I41" s="71"/>
      <c r="J41" s="71"/>
      <c r="K41" s="71"/>
      <c r="L41" s="72">
        <v>0</v>
      </c>
      <c r="M41" s="79"/>
    </row>
    <row r="42" spans="1:13" ht="12" customHeight="1">
      <c r="A42" s="86"/>
      <c r="B42" s="4">
        <v>700</v>
      </c>
      <c r="C42" s="5" t="s">
        <v>130</v>
      </c>
      <c r="D42" s="68" t="s">
        <v>129</v>
      </c>
      <c r="E42" s="3">
        <f t="shared" si="0"/>
        <v>5.543058273992944</v>
      </c>
      <c r="F42" s="3"/>
      <c r="G42" s="3">
        <f t="shared" si="2"/>
        <v>1.643902102819608</v>
      </c>
      <c r="H42" s="3">
        <f t="shared" si="1"/>
        <v>0.33979437821161984</v>
      </c>
      <c r="I42" s="71"/>
      <c r="J42" s="71"/>
      <c r="K42" s="71"/>
      <c r="L42" s="72">
        <v>0</v>
      </c>
      <c r="M42" s="79"/>
    </row>
    <row r="43" spans="1:13" ht="12" customHeight="1">
      <c r="A43" s="86"/>
      <c r="B43" s="4" t="s">
        <v>31</v>
      </c>
      <c r="C43" s="5" t="s">
        <v>130</v>
      </c>
      <c r="D43" s="68" t="s">
        <v>129</v>
      </c>
      <c r="E43" s="3">
        <f t="shared" si="0"/>
        <v>5.680954492548886</v>
      </c>
      <c r="F43" s="3"/>
      <c r="G43" s="3">
        <f t="shared" si="2"/>
        <v>1.0351576505100364</v>
      </c>
      <c r="H43" s="3">
        <f t="shared" si="1"/>
        <v>0.23702949777971927</v>
      </c>
      <c r="I43" s="71"/>
      <c r="J43" s="71"/>
      <c r="K43" s="71"/>
      <c r="L43" s="72">
        <v>0</v>
      </c>
      <c r="M43" s="79"/>
    </row>
    <row r="44" spans="1:13" ht="12" customHeight="1">
      <c r="A44" s="86"/>
      <c r="B44" s="4" t="s">
        <v>32</v>
      </c>
      <c r="C44" s="5" t="s">
        <v>130</v>
      </c>
      <c r="D44" s="68" t="s">
        <v>129</v>
      </c>
      <c r="E44" s="3">
        <f t="shared" si="0"/>
        <v>5.8162631712133255</v>
      </c>
      <c r="F44" s="3"/>
      <c r="G44" s="3">
        <f t="shared" si="2"/>
        <v>0.5924813147007058</v>
      </c>
      <c r="H44" s="3">
        <f t="shared" si="1"/>
        <v>0.1350369868335736</v>
      </c>
      <c r="I44" s="71"/>
      <c r="J44" s="71"/>
      <c r="K44" s="71"/>
      <c r="L44" s="72">
        <v>0</v>
      </c>
      <c r="M44" s="79"/>
    </row>
    <row r="45" spans="1:13" ht="12" customHeight="1">
      <c r="A45" s="86"/>
      <c r="B45" s="4" t="s">
        <v>33</v>
      </c>
      <c r="C45" s="5" t="s">
        <v>130</v>
      </c>
      <c r="D45" s="68" t="s">
        <v>129</v>
      </c>
      <c r="E45" s="3">
        <f t="shared" si="0"/>
        <v>5.680955642615488</v>
      </c>
      <c r="F45" s="3"/>
      <c r="G45" s="3">
        <f t="shared" si="2"/>
        <v>0.42523885626587515</v>
      </c>
      <c r="H45" s="3">
        <f t="shared" si="1"/>
        <v>0.23702861524910823</v>
      </c>
      <c r="I45" s="71"/>
      <c r="J45" s="71"/>
      <c r="K45" s="71"/>
      <c r="L45" s="72">
        <v>0</v>
      </c>
      <c r="M45" s="79"/>
    </row>
    <row r="46" spans="1:13" ht="12" customHeight="1">
      <c r="A46" s="82" t="s">
        <v>115</v>
      </c>
      <c r="B46" s="4" t="s">
        <v>34</v>
      </c>
      <c r="C46" s="5" t="s">
        <v>130</v>
      </c>
      <c r="D46" s="68" t="s">
        <v>129</v>
      </c>
      <c r="E46" s="3">
        <f t="shared" si="0"/>
        <v>5.566590833202361</v>
      </c>
      <c r="F46" s="3"/>
      <c r="G46" s="3">
        <f t="shared" si="2"/>
        <v>0.35775977366914413</v>
      </c>
      <c r="H46" s="3">
        <f t="shared" si="1"/>
        <v>0.3188441493815983</v>
      </c>
      <c r="I46" s="71"/>
      <c r="J46" s="71"/>
      <c r="K46" s="71"/>
      <c r="L46" s="72">
        <v>0</v>
      </c>
      <c r="M46" s="79"/>
    </row>
    <row r="47" spans="1:13" ht="12" customHeight="1">
      <c r="A47" s="86"/>
      <c r="B47" s="4" t="s">
        <v>35</v>
      </c>
      <c r="C47" s="5" t="s">
        <v>130</v>
      </c>
      <c r="D47" s="68" t="s">
        <v>129</v>
      </c>
      <c r="E47" s="3">
        <f t="shared" si="0"/>
        <v>5.974533059763645</v>
      </c>
      <c r="F47" s="3"/>
      <c r="G47" s="3">
        <f t="shared" si="2"/>
        <v>0.2815675561298221</v>
      </c>
      <c r="H47" s="3">
        <f t="shared" si="1"/>
        <v>0.0010609525395180036</v>
      </c>
      <c r="I47" s="71"/>
      <c r="J47" s="71"/>
      <c r="K47" s="71"/>
      <c r="L47" s="72">
        <v>0</v>
      </c>
      <c r="M47" s="79"/>
    </row>
    <row r="48" spans="1:13" ht="12" customHeight="1">
      <c r="A48" s="86"/>
      <c r="B48" s="4" t="s">
        <v>36</v>
      </c>
      <c r="C48" s="5" t="s">
        <v>130</v>
      </c>
      <c r="D48" s="68" t="s">
        <v>129</v>
      </c>
      <c r="E48" s="3">
        <f t="shared" si="0"/>
        <v>6.238189767561888</v>
      </c>
      <c r="F48" s="3"/>
      <c r="G48" s="3">
        <f t="shared" si="2"/>
        <v>0.19281818648952678</v>
      </c>
      <c r="H48" s="3">
        <f t="shared" si="1"/>
        <v>-0.17483486625934144</v>
      </c>
      <c r="I48" s="71"/>
      <c r="J48" s="71"/>
      <c r="K48" s="71"/>
      <c r="L48" s="72">
        <v>0</v>
      </c>
      <c r="M48" s="79"/>
    </row>
    <row r="49" spans="1:13" ht="12" customHeight="1">
      <c r="A49" s="86"/>
      <c r="B49" s="4" t="s">
        <v>37</v>
      </c>
      <c r="C49" s="5" t="s">
        <v>130</v>
      </c>
      <c r="D49" s="68" t="s">
        <v>129</v>
      </c>
      <c r="E49" s="3">
        <f t="shared" si="0"/>
        <v>6.17004057115948</v>
      </c>
      <c r="F49" s="3"/>
      <c r="G49" s="3">
        <f t="shared" si="2"/>
        <v>0.11015066763315887</v>
      </c>
      <c r="H49" s="3">
        <f t="shared" si="1"/>
        <v>-0.12138745270774273</v>
      </c>
      <c r="I49" s="71"/>
      <c r="J49" s="71"/>
      <c r="K49" s="71"/>
      <c r="L49" s="72">
        <v>0</v>
      </c>
      <c r="M49" s="79"/>
    </row>
    <row r="50" spans="1:13" ht="12" customHeight="1">
      <c r="A50" s="86"/>
      <c r="B50" s="4" t="s">
        <v>38</v>
      </c>
      <c r="C50" s="5" t="s">
        <v>130</v>
      </c>
      <c r="D50" s="68" t="s">
        <v>129</v>
      </c>
      <c r="E50" s="3">
        <f t="shared" si="0"/>
        <v>6.054104021691297</v>
      </c>
      <c r="F50" s="3"/>
      <c r="G50" s="3">
        <f t="shared" si="2"/>
        <v>0.052442923345735484</v>
      </c>
      <c r="H50" s="3">
        <f t="shared" si="1"/>
        <v>-0.03902665516591827</v>
      </c>
      <c r="I50" s="71"/>
      <c r="J50" s="71"/>
      <c r="K50" s="71"/>
      <c r="L50" s="72">
        <v>0</v>
      </c>
      <c r="M50" s="79"/>
    </row>
    <row r="51" spans="1:13" ht="12" customHeight="1">
      <c r="A51" s="86"/>
      <c r="B51" s="4" t="s">
        <v>39</v>
      </c>
      <c r="C51" s="5" t="s">
        <v>130</v>
      </c>
      <c r="D51" s="68" t="s">
        <v>129</v>
      </c>
      <c r="E51" s="3">
        <f t="shared" si="0"/>
        <v>6.011814004769015</v>
      </c>
      <c r="F51" s="3"/>
      <c r="G51" s="3">
        <f t="shared" si="2"/>
        <v>0.023206957309351205</v>
      </c>
      <c r="H51" s="3">
        <f t="shared" si="1"/>
        <v>-0.008553387284551014</v>
      </c>
      <c r="I51" s="71"/>
      <c r="J51" s="71"/>
      <c r="K51" s="71"/>
      <c r="L51" s="72">
        <v>0</v>
      </c>
      <c r="M51" s="79"/>
    </row>
    <row r="52" spans="1:13" ht="12" customHeight="1">
      <c r="A52" s="87"/>
      <c r="B52" s="4" t="s">
        <v>40</v>
      </c>
      <c r="C52" s="5" t="s">
        <v>130</v>
      </c>
      <c r="D52" s="68" t="s">
        <v>129</v>
      </c>
      <c r="E52" s="3">
        <f t="shared" si="0"/>
        <v>6.003845571686518</v>
      </c>
      <c r="F52" s="3"/>
      <c r="G52" s="3">
        <f t="shared" si="2"/>
        <v>0.011223193662810957</v>
      </c>
      <c r="H52" s="3">
        <f t="shared" si="1"/>
        <v>-0.002785089923727774</v>
      </c>
      <c r="I52" s="71"/>
      <c r="J52" s="71"/>
      <c r="K52" s="71"/>
      <c r="L52" s="72">
        <v>0</v>
      </c>
      <c r="M52" s="80"/>
    </row>
    <row r="53" spans="1:13" ht="12" customHeight="1">
      <c r="A53" s="81" t="s">
        <v>116</v>
      </c>
      <c r="B53" s="4">
        <v>20</v>
      </c>
      <c r="C53" s="5" t="s">
        <v>130</v>
      </c>
      <c r="D53" s="2" t="s">
        <v>128</v>
      </c>
      <c r="E53" s="7">
        <f>IF($H$17=0,0,E185)+E$22-$H$22+E$30+20*LOG(E119*E$28/((E97^2*E119^2+E$28^2*(E97-E119)^2)^0.5))+$I53</f>
        <v>-1.1117886941303746E-05</v>
      </c>
      <c r="F53" s="7">
        <f>IF($H$17=0,0,F185)+F$22-$H$22+F$30+20*LOG(F$28*F97*G119/((F$28*F97*G119-F$28*(F97-G119)*(G97-F119))^2+(F97*G119*(G97-F119))^2)^0.5)+$J53</f>
        <v>-58.233824724163696</v>
      </c>
      <c r="G53" s="7">
        <f>IF($H$17=0,0,G185)+G$22-$H$22+G$30+20*LOG((H97*G$28/(H97^2*H119^2+G$28^2*(H97-H119)^2)^0.5))+$K53</f>
        <v>-92.041214502594</v>
      </c>
      <c r="H53" s="7">
        <f>20*LOG(((10^(E53/20)*COS(3.14159*E75/180)+10^(F53/20)*COS(3.14159*F75/180)+10^(G53/20)*COS(3.14159*G75/180))^2+(10^(E53/20)*SIN(3.14159*E75/180)+10^(F53/20)*SIN(3.14159*F75/180)+10^(G53/20)*SIN(3.14159*G75/180))^2)^0.5)+$L53</f>
        <v>0.010409941046548625</v>
      </c>
      <c r="I53" s="72">
        <v>0</v>
      </c>
      <c r="J53" s="72">
        <v>0</v>
      </c>
      <c r="K53" s="72">
        <v>0</v>
      </c>
      <c r="L53" s="72">
        <v>0</v>
      </c>
      <c r="M53" s="78" t="s">
        <v>216</v>
      </c>
    </row>
    <row r="54" spans="1:13" ht="12" customHeight="1">
      <c r="A54" s="82"/>
      <c r="B54" s="4">
        <v>30</v>
      </c>
      <c r="C54" s="5" t="s">
        <v>130</v>
      </c>
      <c r="D54" s="2" t="s">
        <v>128</v>
      </c>
      <c r="E54" s="7">
        <f aca="true" t="shared" si="3" ref="E54:E74">IF($H$17=0,0,E186)+E$22-$H$22+E$30+20*LOG(E120*E$28/((E98^2*E120^2+E$28^2*(E98-E120)^2)^0.5))+$I54</f>
        <v>-5.6284009970117395E-05</v>
      </c>
      <c r="F54" s="7">
        <f aca="true" t="shared" si="4" ref="F54:F74">IF($H$17=0,0,F186)+F$22-$H$22+F$30+20*LOG(F$28*F98*G120/((F$28*F98*G120-F$28*(F98-G120)*(G98-F120))^2+(F98*G120*(G98-F120))^2)^0.5)+$J54</f>
        <v>-51.18585654239457</v>
      </c>
      <c r="G54" s="7">
        <f aca="true" t="shared" si="5" ref="G54:G74">IF($H$17=0,0,G186)+G$22-$H$22+G$30+20*LOG((H98*G$28/(H98^2*H120^2+G$28^2*(H98-H120)^2)^0.5))+$K54</f>
        <v>-84.99756415139372</v>
      </c>
      <c r="H54" s="7">
        <f aca="true" t="shared" si="6" ref="H54:H74">20*LOG(((10^(E54/20)*COS(3.14159*E76/180)+10^(F54/20)*COS(3.14159*F76/180)+10^(G54/20)*COS(3.14159*G76/180))^2+(10^(E54/20)*SIN(3.14159*E76/180)+10^(F54/20)*SIN(3.14159*F76/180)+10^(G54/20)*SIN(3.14159*G76/180))^2)^0.5)+$L54</f>
        <v>0.02338554282305433</v>
      </c>
      <c r="I54" s="72">
        <v>0</v>
      </c>
      <c r="J54" s="72">
        <v>0</v>
      </c>
      <c r="K54" s="72">
        <v>0</v>
      </c>
      <c r="L54" s="72">
        <v>0</v>
      </c>
      <c r="M54" s="79"/>
    </row>
    <row r="55" spans="1:13" ht="12" customHeight="1">
      <c r="A55" s="82"/>
      <c r="B55" s="4">
        <v>40</v>
      </c>
      <c r="C55" s="5" t="s">
        <v>130</v>
      </c>
      <c r="D55" s="2" t="s">
        <v>128</v>
      </c>
      <c r="E55" s="7">
        <f t="shared" si="3"/>
        <v>-0.00017788277576548855</v>
      </c>
      <c r="F55" s="7">
        <f t="shared" si="4"/>
        <v>-46.18229471772625</v>
      </c>
      <c r="G55" s="7">
        <f t="shared" si="5"/>
        <v>-80.00001471674972</v>
      </c>
      <c r="H55" s="7">
        <f t="shared" si="6"/>
        <v>0.04148279254142821</v>
      </c>
      <c r="I55" s="72">
        <v>0</v>
      </c>
      <c r="J55" s="72">
        <v>0</v>
      </c>
      <c r="K55" s="72">
        <v>0</v>
      </c>
      <c r="L55" s="72">
        <v>0</v>
      </c>
      <c r="M55" s="79"/>
    </row>
    <row r="56" spans="1:13" ht="12" customHeight="1">
      <c r="A56" s="82"/>
      <c r="B56" s="4">
        <v>50</v>
      </c>
      <c r="C56" s="5" t="s">
        <v>130</v>
      </c>
      <c r="D56" s="2" t="s">
        <v>128</v>
      </c>
      <c r="E56" s="7">
        <f t="shared" si="3"/>
        <v>-0.0004342713014444864</v>
      </c>
      <c r="F56" s="7">
        <f t="shared" si="4"/>
        <v>-42.298220125953215</v>
      </c>
      <c r="G56" s="7">
        <f t="shared" si="5"/>
        <v>-76.12361425902674</v>
      </c>
      <c r="H56" s="7">
        <f t="shared" si="6"/>
        <v>0.06463342777267542</v>
      </c>
      <c r="I56" s="72">
        <v>0</v>
      </c>
      <c r="J56" s="72">
        <v>0</v>
      </c>
      <c r="K56" s="72">
        <v>0</v>
      </c>
      <c r="L56" s="72">
        <v>0</v>
      </c>
      <c r="M56" s="79"/>
    </row>
    <row r="57" spans="1:13" ht="12" customHeight="1">
      <c r="A57" s="82"/>
      <c r="B57" s="4">
        <v>70</v>
      </c>
      <c r="C57" s="5" t="s">
        <v>130</v>
      </c>
      <c r="D57" s="2" t="s">
        <v>128</v>
      </c>
      <c r="E57" s="7">
        <f t="shared" si="3"/>
        <v>-0.0016680596654786088</v>
      </c>
      <c r="F57" s="7">
        <f t="shared" si="4"/>
        <v>-36.432945620372536</v>
      </c>
      <c r="G57" s="7">
        <f t="shared" si="5"/>
        <v>-70.27849313318798</v>
      </c>
      <c r="H57" s="7">
        <f t="shared" si="6"/>
        <v>0.12572702389551796</v>
      </c>
      <c r="I57" s="72">
        <v>0</v>
      </c>
      <c r="J57" s="72">
        <v>0</v>
      </c>
      <c r="K57" s="72">
        <v>0</v>
      </c>
      <c r="L57" s="72">
        <v>0</v>
      </c>
      <c r="M57" s="79"/>
    </row>
    <row r="58" spans="1:13" ht="12" customHeight="1">
      <c r="A58" s="82"/>
      <c r="B58" s="4">
        <v>100</v>
      </c>
      <c r="C58" s="5" t="s">
        <v>130</v>
      </c>
      <c r="D58" s="2" t="s">
        <v>128</v>
      </c>
      <c r="E58" s="7">
        <f t="shared" si="3"/>
        <v>-0.006943135223775024</v>
      </c>
      <c r="F58" s="7">
        <f t="shared" si="4"/>
        <v>-30.195569801953212</v>
      </c>
      <c r="G58" s="7">
        <f t="shared" si="5"/>
        <v>-64.08241602289567</v>
      </c>
      <c r="H58" s="7">
        <f t="shared" si="6"/>
        <v>0.25248889136193253</v>
      </c>
      <c r="I58" s="72">
        <v>0</v>
      </c>
      <c r="J58" s="72">
        <v>0</v>
      </c>
      <c r="K58" s="72">
        <v>0</v>
      </c>
      <c r="L58" s="72">
        <v>0</v>
      </c>
      <c r="M58" s="79"/>
    </row>
    <row r="59" spans="1:13" ht="12" customHeight="1">
      <c r="A59" s="82"/>
      <c r="B59" s="4">
        <v>150</v>
      </c>
      <c r="C59" s="5" t="s">
        <v>130</v>
      </c>
      <c r="D59" s="2" t="s">
        <v>128</v>
      </c>
      <c r="E59" s="7">
        <f t="shared" si="3"/>
        <v>-0.03503602952664812</v>
      </c>
      <c r="F59" s="7">
        <f t="shared" si="4"/>
        <v>-23.059824304878873</v>
      </c>
      <c r="G59" s="7">
        <f t="shared" si="5"/>
        <v>-57.03877255251719</v>
      </c>
      <c r="H59" s="7">
        <f t="shared" si="6"/>
        <v>0.546071290565238</v>
      </c>
      <c r="I59" s="72">
        <v>0</v>
      </c>
      <c r="J59" s="72">
        <v>0</v>
      </c>
      <c r="K59" s="72">
        <v>0</v>
      </c>
      <c r="L59" s="72">
        <v>0</v>
      </c>
      <c r="M59" s="79"/>
    </row>
    <row r="60" spans="1:13" ht="12" customHeight="1">
      <c r="A60" s="82"/>
      <c r="B60" s="4">
        <v>200</v>
      </c>
      <c r="C60" s="5" t="s">
        <v>130</v>
      </c>
      <c r="D60" s="2" t="s">
        <v>128</v>
      </c>
      <c r="E60" s="7">
        <f t="shared" si="3"/>
        <v>-0.10977975548729688</v>
      </c>
      <c r="F60" s="7">
        <f t="shared" si="4"/>
        <v>-17.95642418628579</v>
      </c>
      <c r="G60" s="7">
        <f t="shared" si="5"/>
        <v>-52.04124164310826</v>
      </c>
      <c r="H60" s="7">
        <f t="shared" si="6"/>
        <v>0.9184383608106507</v>
      </c>
      <c r="I60" s="72">
        <v>0</v>
      </c>
      <c r="J60" s="72">
        <v>0</v>
      </c>
      <c r="K60" s="72">
        <v>0</v>
      </c>
      <c r="L60" s="72">
        <v>0</v>
      </c>
      <c r="M60" s="79"/>
    </row>
    <row r="61" spans="1:13" ht="12" customHeight="1">
      <c r="A61" s="82"/>
      <c r="B61" s="4">
        <v>300</v>
      </c>
      <c r="C61" s="5" t="s">
        <v>130</v>
      </c>
      <c r="D61" s="2" t="s">
        <v>128</v>
      </c>
      <c r="E61" s="7">
        <f t="shared" si="3"/>
        <v>-0.5292451535968644</v>
      </c>
      <c r="F61" s="7">
        <f t="shared" si="4"/>
        <v>-10.773346972567996</v>
      </c>
      <c r="G61" s="7">
        <f t="shared" si="5"/>
        <v>-44.997701548502704</v>
      </c>
      <c r="H61" s="7">
        <f t="shared" si="6"/>
        <v>1.765942061763377</v>
      </c>
      <c r="I61" s="72">
        <v>0</v>
      </c>
      <c r="J61" s="72">
        <v>0</v>
      </c>
      <c r="K61" s="72">
        <v>0</v>
      </c>
      <c r="L61" s="72">
        <v>0</v>
      </c>
      <c r="M61" s="79"/>
    </row>
    <row r="62" spans="1:13" ht="12" customHeight="1">
      <c r="A62" s="82"/>
      <c r="B62" s="4">
        <v>400</v>
      </c>
      <c r="C62" s="5" t="s">
        <v>130</v>
      </c>
      <c r="D62" s="2" t="s">
        <v>128</v>
      </c>
      <c r="E62" s="7">
        <f t="shared" si="3"/>
        <v>-1.4909546469277113</v>
      </c>
      <c r="F62" s="7">
        <f t="shared" si="4"/>
        <v>-6.002909079461062</v>
      </c>
      <c r="G62" s="7">
        <f t="shared" si="5"/>
        <v>-40.000448944621866</v>
      </c>
      <c r="H62" s="7">
        <f t="shared" si="6"/>
        <v>2.529723540365545</v>
      </c>
      <c r="I62" s="72">
        <v>0</v>
      </c>
      <c r="J62" s="72">
        <v>0</v>
      </c>
      <c r="K62" s="72">
        <v>0</v>
      </c>
      <c r="L62" s="72">
        <v>0</v>
      </c>
      <c r="M62" s="79"/>
    </row>
    <row r="63" spans="1:13" ht="12" customHeight="1">
      <c r="A63" s="82"/>
      <c r="B63" s="4">
        <v>500</v>
      </c>
      <c r="C63" s="5" t="s">
        <v>130</v>
      </c>
      <c r="D63" s="2" t="s">
        <v>128</v>
      </c>
      <c r="E63" s="7">
        <f t="shared" si="3"/>
        <v>-3.010292619985799</v>
      </c>
      <c r="F63" s="7">
        <f t="shared" si="4"/>
        <v>-3.0103093894968813</v>
      </c>
      <c r="G63" s="7">
        <f t="shared" si="5"/>
        <v>-36.124674309270375</v>
      </c>
      <c r="H63" s="7">
        <f t="shared" si="6"/>
        <v>2.993836998668604</v>
      </c>
      <c r="I63" s="72">
        <v>0</v>
      </c>
      <c r="J63" s="72">
        <v>0</v>
      </c>
      <c r="K63" s="72">
        <v>0</v>
      </c>
      <c r="L63" s="72">
        <v>0</v>
      </c>
      <c r="M63" s="79"/>
    </row>
    <row r="64" spans="1:13" ht="12" customHeight="1">
      <c r="A64" s="82"/>
      <c r="B64" s="4">
        <v>700</v>
      </c>
      <c r="C64" s="5" t="s">
        <v>130</v>
      </c>
      <c r="D64" s="2" t="s">
        <v>128</v>
      </c>
      <c r="E64" s="7">
        <f t="shared" si="3"/>
        <v>-6.849877420790462</v>
      </c>
      <c r="F64" s="7">
        <f t="shared" si="4"/>
        <v>-0.585373179523001</v>
      </c>
      <c r="G64" s="7">
        <f t="shared" si="5"/>
        <v>-30.282564010432296</v>
      </c>
      <c r="H64" s="7">
        <f t="shared" si="6"/>
        <v>2.890216268944148</v>
      </c>
      <c r="I64" s="72">
        <v>0</v>
      </c>
      <c r="J64" s="72">
        <v>0</v>
      </c>
      <c r="K64" s="72">
        <v>0</v>
      </c>
      <c r="L64" s="72">
        <v>0</v>
      </c>
      <c r="M64" s="79"/>
    </row>
    <row r="65" spans="1:13" ht="12" customHeight="1">
      <c r="A65" s="82"/>
      <c r="B65" s="4" t="s">
        <v>31</v>
      </c>
      <c r="C65" s="5" t="s">
        <v>130</v>
      </c>
      <c r="D65" s="2" t="s">
        <v>128</v>
      </c>
      <c r="E65" s="7">
        <f t="shared" si="3"/>
        <v>-12.304475403600183</v>
      </c>
      <c r="F65" s="7">
        <f t="shared" si="4"/>
        <v>-0.028845194909677876</v>
      </c>
      <c r="G65" s="7">
        <f t="shared" si="5"/>
        <v>-24.099345849538835</v>
      </c>
      <c r="H65" s="7">
        <f t="shared" si="6"/>
        <v>2.0783388173724715</v>
      </c>
      <c r="I65" s="72">
        <v>0</v>
      </c>
      <c r="J65" s="72">
        <v>0</v>
      </c>
      <c r="K65" s="72">
        <v>0</v>
      </c>
      <c r="L65" s="72">
        <v>0</v>
      </c>
      <c r="M65" s="79"/>
    </row>
    <row r="66" spans="1:13" ht="12" customHeight="1">
      <c r="A66" s="82"/>
      <c r="B66" s="4" t="s">
        <v>32</v>
      </c>
      <c r="C66" s="5" t="s">
        <v>130</v>
      </c>
      <c r="D66" s="2" t="s">
        <v>128</v>
      </c>
      <c r="E66" s="7">
        <f t="shared" si="3"/>
        <v>-19.13812402945998</v>
      </c>
      <c r="F66" s="7">
        <f t="shared" si="4"/>
        <v>-2.2329606562161E-05</v>
      </c>
      <c r="G66" s="7">
        <f t="shared" si="5"/>
        <v>-17.123808952641927</v>
      </c>
      <c r="H66" s="7">
        <f t="shared" si="6"/>
        <v>1.7060497615071235</v>
      </c>
      <c r="I66" s="72">
        <v>0</v>
      </c>
      <c r="J66" s="72">
        <v>0</v>
      </c>
      <c r="K66" s="72">
        <v>0</v>
      </c>
      <c r="L66" s="72">
        <v>0</v>
      </c>
      <c r="M66" s="79"/>
    </row>
    <row r="67" spans="1:13" ht="12" customHeight="1">
      <c r="A67" s="82"/>
      <c r="B67" s="4" t="s">
        <v>33</v>
      </c>
      <c r="C67" s="5" t="s">
        <v>130</v>
      </c>
      <c r="D67" s="2" t="s">
        <v>128</v>
      </c>
      <c r="E67" s="7">
        <f t="shared" si="3"/>
        <v>-24.09931661708725</v>
      </c>
      <c r="F67" s="7">
        <f t="shared" si="4"/>
        <v>-0.02884461210505977</v>
      </c>
      <c r="G67" s="7">
        <f t="shared" si="5"/>
        <v>-12.30450302396804</v>
      </c>
      <c r="H67" s="7">
        <f t="shared" si="6"/>
        <v>2.078334562017672</v>
      </c>
      <c r="I67" s="72">
        <v>0</v>
      </c>
      <c r="J67" s="72">
        <v>0</v>
      </c>
      <c r="K67" s="72">
        <v>0</v>
      </c>
      <c r="L67" s="72">
        <v>0</v>
      </c>
      <c r="M67" s="79"/>
    </row>
    <row r="68" spans="1:13" ht="12" customHeight="1">
      <c r="A68" s="82"/>
      <c r="B68" s="4" t="s">
        <v>34</v>
      </c>
      <c r="C68" s="5" t="s">
        <v>130</v>
      </c>
      <c r="D68" s="2" t="s">
        <v>128</v>
      </c>
      <c r="E68" s="7">
        <f t="shared" si="3"/>
        <v>-31.12938509883368</v>
      </c>
      <c r="F68" s="7">
        <f t="shared" si="4"/>
        <v>-0.782863350489073</v>
      </c>
      <c r="G68" s="7">
        <f t="shared" si="5"/>
        <v>-6.191459966430014</v>
      </c>
      <c r="H68" s="7">
        <f t="shared" si="6"/>
        <v>2.9713893541768965</v>
      </c>
      <c r="I68" s="72">
        <v>0</v>
      </c>
      <c r="J68" s="72">
        <v>0</v>
      </c>
      <c r="K68" s="72">
        <v>0</v>
      </c>
      <c r="L68" s="72">
        <v>0</v>
      </c>
      <c r="M68" s="79"/>
    </row>
    <row r="69" spans="1:13" ht="12" customHeight="1">
      <c r="A69" s="82"/>
      <c r="B69" s="4" t="s">
        <v>35</v>
      </c>
      <c r="C69" s="5" t="s">
        <v>130</v>
      </c>
      <c r="D69" s="2" t="s">
        <v>128</v>
      </c>
      <c r="E69" s="7">
        <f t="shared" si="3"/>
        <v>-36.124644969792485</v>
      </c>
      <c r="F69" s="7">
        <f t="shared" si="4"/>
        <v>-3.0102905237991893</v>
      </c>
      <c r="G69" s="7">
        <f t="shared" si="5"/>
        <v>-3.010307293306222</v>
      </c>
      <c r="H69" s="7">
        <f t="shared" si="6"/>
        <v>2.9938393520084223</v>
      </c>
      <c r="I69" s="72">
        <v>0</v>
      </c>
      <c r="J69" s="72">
        <v>0</v>
      </c>
      <c r="K69" s="72">
        <v>0</v>
      </c>
      <c r="L69" s="72">
        <v>0</v>
      </c>
      <c r="M69" s="79"/>
    </row>
    <row r="70" spans="1:13" ht="12" customHeight="1">
      <c r="A70" s="82"/>
      <c r="B70" s="4" t="s">
        <v>36</v>
      </c>
      <c r="C70" s="5" t="s">
        <v>130</v>
      </c>
      <c r="D70" s="2" t="s">
        <v>128</v>
      </c>
      <c r="E70" s="7">
        <f t="shared" si="3"/>
        <v>-40.00041960091539</v>
      </c>
      <c r="F70" s="7">
        <f t="shared" si="4"/>
        <v>-6.002883276838073</v>
      </c>
      <c r="G70" s="7">
        <f t="shared" si="5"/>
        <v>-1.4909631744419647</v>
      </c>
      <c r="H70" s="7">
        <f t="shared" si="6"/>
        <v>2.5297284541287164</v>
      </c>
      <c r="I70" s="72">
        <v>0</v>
      </c>
      <c r="J70" s="72">
        <v>0</v>
      </c>
      <c r="K70" s="72">
        <v>0</v>
      </c>
      <c r="L70" s="72">
        <v>0</v>
      </c>
      <c r="M70" s="79"/>
    </row>
    <row r="71" spans="1:13" ht="12" customHeight="1">
      <c r="A71" s="82"/>
      <c r="B71" s="4" t="s">
        <v>37</v>
      </c>
      <c r="C71" s="5" t="s">
        <v>130</v>
      </c>
      <c r="D71" s="2" t="s">
        <v>128</v>
      </c>
      <c r="E71" s="7">
        <f t="shared" si="3"/>
        <v>-45.845219803136665</v>
      </c>
      <c r="F71" s="7">
        <f t="shared" si="4"/>
        <v>-11.62663897239758</v>
      </c>
      <c r="G71" s="7">
        <f t="shared" si="5"/>
        <v>-0.4399953572983152</v>
      </c>
      <c r="H71" s="7">
        <f t="shared" si="6"/>
        <v>1.644123396078365</v>
      </c>
      <c r="I71" s="72">
        <v>0</v>
      </c>
      <c r="J71" s="72">
        <v>0</v>
      </c>
      <c r="K71" s="72">
        <v>0</v>
      </c>
      <c r="L71" s="72">
        <v>0</v>
      </c>
      <c r="M71" s="79"/>
    </row>
    <row r="72" spans="1:13" ht="12" customHeight="1">
      <c r="A72" s="82"/>
      <c r="B72" s="4" t="s">
        <v>38</v>
      </c>
      <c r="C72" s="5" t="s">
        <v>130</v>
      </c>
      <c r="D72" s="2" t="s">
        <v>128</v>
      </c>
      <c r="E72" s="7">
        <f t="shared" si="3"/>
        <v>-52.04121229665083</v>
      </c>
      <c r="F72" s="7">
        <f t="shared" si="4"/>
        <v>-17.956394130803407</v>
      </c>
      <c r="G72" s="7">
        <f t="shared" si="5"/>
        <v>-0.10978048800875355</v>
      </c>
      <c r="H72" s="7">
        <f t="shared" si="6"/>
        <v>0.9184413418851751</v>
      </c>
      <c r="I72" s="72">
        <v>0</v>
      </c>
      <c r="J72" s="72">
        <v>0</v>
      </c>
      <c r="K72" s="72">
        <v>0</v>
      </c>
      <c r="L72" s="72">
        <v>0</v>
      </c>
      <c r="M72" s="79"/>
    </row>
    <row r="73" spans="1:13" ht="12" customHeight="1">
      <c r="A73" s="82"/>
      <c r="B73" s="4" t="s">
        <v>39</v>
      </c>
      <c r="C73" s="5" t="s">
        <v>130</v>
      </c>
      <c r="D73" s="2" t="s">
        <v>128</v>
      </c>
      <c r="E73" s="7">
        <f t="shared" si="3"/>
        <v>-59.084840877141154</v>
      </c>
      <c r="F73" s="7">
        <f t="shared" si="4"/>
        <v>-25.139128465028055</v>
      </c>
      <c r="G73" s="7">
        <f t="shared" si="5"/>
        <v>-0.021906093784103554</v>
      </c>
      <c r="H73" s="7">
        <f t="shared" si="6"/>
        <v>0.4379650806371471</v>
      </c>
      <c r="I73" s="72">
        <v>0</v>
      </c>
      <c r="J73" s="72">
        <v>0</v>
      </c>
      <c r="K73" s="72">
        <v>0</v>
      </c>
      <c r="L73" s="72">
        <v>0</v>
      </c>
      <c r="M73" s="79"/>
    </row>
    <row r="74" spans="1:13" ht="12" customHeight="1">
      <c r="A74" s="83"/>
      <c r="B74" s="4" t="s">
        <v>40</v>
      </c>
      <c r="C74" s="5" t="s">
        <v>130</v>
      </c>
      <c r="D74" s="2" t="s">
        <v>128</v>
      </c>
      <c r="E74" s="7">
        <f t="shared" si="3"/>
        <v>-64.0823866762663</v>
      </c>
      <c r="F74" s="7">
        <f t="shared" si="4"/>
        <v>-30.195540188707728</v>
      </c>
      <c r="G74" s="7">
        <f t="shared" si="5"/>
        <v>-0.006943182103393209</v>
      </c>
      <c r="H74" s="7">
        <f t="shared" si="6"/>
        <v>0.2524897597775216</v>
      </c>
      <c r="I74" s="72">
        <v>0</v>
      </c>
      <c r="J74" s="72">
        <v>0</v>
      </c>
      <c r="K74" s="72">
        <v>0</v>
      </c>
      <c r="L74" s="72">
        <v>0</v>
      </c>
      <c r="M74" s="80"/>
    </row>
    <row r="75" spans="1:10" ht="12" customHeight="1">
      <c r="A75" s="81" t="s">
        <v>117</v>
      </c>
      <c r="B75" s="4">
        <v>20</v>
      </c>
      <c r="C75" s="5" t="s">
        <v>130</v>
      </c>
      <c r="D75" s="2" t="s">
        <v>124</v>
      </c>
      <c r="E75" s="6">
        <f>IF($H$17=0,0,E207)+180/PI()*ATAN2((E$28*(E97-E119)),E97*E119)-180</f>
        <v>-3.242862942089374</v>
      </c>
      <c r="F75" s="6">
        <f>IF($H$17=0,0,F207)+180/3.14159*ATAN2((F$28*F97*G119-F$28*(F97-G119)*(G97-F119)),(-1)*F97*G119*(G97-F119))-180</f>
        <v>-2.8375695403067596</v>
      </c>
      <c r="G75" s="6">
        <f>IF($H$17=0,0,G207)+180/3.14159*ATAN2((G$28*(H97-H119)),H97*H119)</f>
        <v>179.5950063212236</v>
      </c>
      <c r="H75" s="6">
        <f>180/3.14159*ATAN2((10^(E53/20)*COS(PI()*E75/180)+10^(F53/20)*COS(PI()*F75/180)+10^(G53/20)*COS(PI()*G75/180)),(10^(E53/20)*SIN(PI()*E75/180)+10^(F53/20)*SIN(PI()*F75/180)+10^(G53/20)*SIN(PI()*G75/180)))</f>
        <v>-3.2424404307157184</v>
      </c>
      <c r="J75" s="59"/>
    </row>
    <row r="76" spans="1:10" ht="12" customHeight="1">
      <c r="A76" s="82"/>
      <c r="B76" s="4">
        <v>30</v>
      </c>
      <c r="C76" s="5" t="s">
        <v>130</v>
      </c>
      <c r="D76" s="2" t="s">
        <v>124</v>
      </c>
      <c r="E76" s="6">
        <f aca="true" t="shared" si="7" ref="E76:E96">IF($H$17=0,0,E208)+180/PI()*ATAN2((E$28*(E98-E120)),E98*E120)-180</f>
        <v>-4.8675254018774865</v>
      </c>
      <c r="F76" s="6">
        <f aca="true" t="shared" si="8" ref="F76:F96">IF($H$17=0,0,F208)+180/3.14159*ATAN2((F$28*F98*G120-F$28*(F98-G120)*(G98-F120)),(-1)*F98*G120*(G98-F120))-180</f>
        <v>-4.259664851593669</v>
      </c>
      <c r="G76" s="6">
        <f aca="true" t="shared" si="9" ref="G76:G96">IF($H$17=0,0,G208)+180/3.14159*ATAN2((G$28*(H98-H120)),H98*H120)</f>
        <v>179.39242713199354</v>
      </c>
      <c r="H76" s="6">
        <f aca="true" t="shared" si="10" ref="H76:H96">180/3.14159*ATAN2((10^(E54/20)*COS(PI()*E76/180)+10^(F54/20)*COS(PI()*F76/180)+10^(G54/20)*COS(PI()*G76/180)),(10^(E54/20)*SIN(PI()*E76/180)+10^(F54/20)*SIN(PI()*F76/180)+10^(G54/20)*SIN(PI()*G76/180)))</f>
        <v>-4.86609589446397</v>
      </c>
      <c r="J76" s="59"/>
    </row>
    <row r="77" spans="1:10" ht="12" customHeight="1">
      <c r="A77" s="82"/>
      <c r="B77" s="4">
        <v>40</v>
      </c>
      <c r="C77" s="5" t="s">
        <v>130</v>
      </c>
      <c r="D77" s="2" t="s">
        <v>124</v>
      </c>
      <c r="E77" s="6">
        <f t="shared" si="7"/>
        <v>-6.4960474804271655</v>
      </c>
      <c r="F77" s="6">
        <f t="shared" si="8"/>
        <v>-5.685641039181405</v>
      </c>
      <c r="G77" s="6">
        <f t="shared" si="9"/>
        <v>179.18984034725958</v>
      </c>
      <c r="H77" s="6">
        <f t="shared" si="10"/>
        <v>-6.492659698635139</v>
      </c>
      <c r="J77" s="59"/>
    </row>
    <row r="78" spans="1:10" ht="12" customHeight="1">
      <c r="A78" s="82"/>
      <c r="B78" s="4">
        <v>50</v>
      </c>
      <c r="C78" s="5" t="s">
        <v>130</v>
      </c>
      <c r="D78" s="2" t="s">
        <v>124</v>
      </c>
      <c r="E78" s="6">
        <f t="shared" si="7"/>
        <v>-8.1296862175559</v>
      </c>
      <c r="F78" s="6">
        <f t="shared" si="8"/>
        <v>-7.116790658845559</v>
      </c>
      <c r="G78" s="6">
        <f t="shared" si="9"/>
        <v>178.98724343607347</v>
      </c>
      <c r="H78" s="6">
        <f t="shared" si="10"/>
        <v>-8.123077889947737</v>
      </c>
      <c r="J78" s="59"/>
    </row>
    <row r="79" spans="1:10" ht="12" customHeight="1">
      <c r="A79" s="82"/>
      <c r="B79" s="4">
        <v>70</v>
      </c>
      <c r="C79" s="5" t="s">
        <v>130</v>
      </c>
      <c r="D79" s="2" t="s">
        <v>124</v>
      </c>
      <c r="E79" s="6">
        <f t="shared" si="7"/>
        <v>-11.417206262530073</v>
      </c>
      <c r="F79" s="6">
        <f t="shared" si="8"/>
        <v>-9.999773585602071</v>
      </c>
      <c r="G79" s="6">
        <f t="shared" si="9"/>
        <v>178.58200911454279</v>
      </c>
      <c r="H79" s="6">
        <f t="shared" si="10"/>
        <v>-11.39915563322839</v>
      </c>
      <c r="J79" s="59"/>
    </row>
    <row r="80" spans="1:10" ht="12" customHeight="1">
      <c r="A80" s="82"/>
      <c r="B80" s="4">
        <v>100</v>
      </c>
      <c r="C80" s="5" t="s">
        <v>130</v>
      </c>
      <c r="D80" s="2" t="s">
        <v>124</v>
      </c>
      <c r="E80" s="6">
        <f t="shared" si="7"/>
        <v>-16.4164261604285</v>
      </c>
      <c r="F80" s="6">
        <f t="shared" si="8"/>
        <v>-14.395246818696535</v>
      </c>
      <c r="G80" s="6">
        <f t="shared" si="9"/>
        <v>177.97401846403918</v>
      </c>
      <c r="H80" s="6">
        <f t="shared" si="10"/>
        <v>-16.36439548380214</v>
      </c>
      <c r="J80" s="59"/>
    </row>
    <row r="81" spans="1:10" ht="12" customHeight="1">
      <c r="A81" s="82"/>
      <c r="B81" s="4">
        <v>150</v>
      </c>
      <c r="C81" s="5" t="s">
        <v>130</v>
      </c>
      <c r="D81" s="2" t="s">
        <v>124</v>
      </c>
      <c r="E81" s="6">
        <f t="shared" si="7"/>
        <v>-24.996052348814914</v>
      </c>
      <c r="F81" s="6">
        <f t="shared" si="8"/>
        <v>-21.994852971399695</v>
      </c>
      <c r="G81" s="6">
        <f t="shared" si="9"/>
        <v>176.96016134943196</v>
      </c>
      <c r="H81" s="6">
        <f t="shared" si="10"/>
        <v>-24.82630097307545</v>
      </c>
      <c r="J81" s="59"/>
    </row>
    <row r="82" spans="1:10" ht="12" customHeight="1">
      <c r="A82" s="82"/>
      <c r="B82" s="4">
        <v>200</v>
      </c>
      <c r="C82" s="5" t="s">
        <v>130</v>
      </c>
      <c r="D82" s="2" t="s">
        <v>124</v>
      </c>
      <c r="E82" s="6">
        <f t="shared" si="7"/>
        <v>-33.957674524320936</v>
      </c>
      <c r="F82" s="6">
        <f t="shared" si="8"/>
        <v>-30.067160480690404</v>
      </c>
      <c r="G82" s="6">
        <f t="shared" si="9"/>
        <v>175.94535750972292</v>
      </c>
      <c r="H82" s="6">
        <f t="shared" si="10"/>
        <v>-33.57942709913197</v>
      </c>
      <c r="J82" s="59"/>
    </row>
    <row r="83" spans="1:10" ht="12" customHeight="1">
      <c r="A83" s="82"/>
      <c r="B83" s="4">
        <v>300</v>
      </c>
      <c r="C83" s="5" t="s">
        <v>130</v>
      </c>
      <c r="D83" s="2" t="s">
        <v>124</v>
      </c>
      <c r="E83" s="6">
        <f t="shared" si="7"/>
        <v>-52.97462709140457</v>
      </c>
      <c r="F83" s="6">
        <f t="shared" si="8"/>
        <v>-48.09068009191668</v>
      </c>
      <c r="G83" s="6">
        <f t="shared" si="9"/>
        <v>173.91166090701174</v>
      </c>
      <c r="H83" s="6">
        <f t="shared" si="10"/>
        <v>-52.01506535998179</v>
      </c>
      <c r="J83" s="59"/>
    </row>
    <row r="84" spans="1:10" ht="12" customHeight="1">
      <c r="A84" s="82"/>
      <c r="B84" s="4">
        <v>400</v>
      </c>
      <c r="C84" s="5" t="s">
        <v>130</v>
      </c>
      <c r="D84" s="2" t="s">
        <v>124</v>
      </c>
      <c r="E84" s="6">
        <f t="shared" si="7"/>
        <v>-72.34896748512955</v>
      </c>
      <c r="F84" s="6">
        <f t="shared" si="8"/>
        <v>-68.62821940818027</v>
      </c>
      <c r="G84" s="6">
        <f t="shared" si="9"/>
        <v>171.87045895521024</v>
      </c>
      <c r="H84" s="6">
        <f t="shared" si="10"/>
        <v>-71.34235319946508</v>
      </c>
      <c r="J84" s="59"/>
    </row>
    <row r="85" spans="1:10" ht="12" customHeight="1">
      <c r="A85" s="82"/>
      <c r="B85" s="4">
        <v>500</v>
      </c>
      <c r="C85" s="5" t="s">
        <v>130</v>
      </c>
      <c r="D85" s="2" t="s">
        <v>124</v>
      </c>
      <c r="E85" s="6">
        <f t="shared" si="7"/>
        <v>-89.99993155815176</v>
      </c>
      <c r="F85" s="6">
        <f t="shared" si="8"/>
        <v>-89.99983598347043</v>
      </c>
      <c r="G85" s="6">
        <f t="shared" si="9"/>
        <v>169.81934067135015</v>
      </c>
      <c r="H85" s="6">
        <f t="shared" si="10"/>
        <v>-90.62414521413316</v>
      </c>
      <c r="J85" s="59"/>
    </row>
    <row r="86" spans="1:10" ht="12" customHeight="1">
      <c r="A86" s="82"/>
      <c r="B86" s="4">
        <v>700</v>
      </c>
      <c r="C86" s="5" t="s">
        <v>130</v>
      </c>
      <c r="D86" s="2" t="s">
        <v>124</v>
      </c>
      <c r="E86" s="6">
        <f t="shared" si="7"/>
        <v>-115.86744574061677</v>
      </c>
      <c r="F86" s="6">
        <f t="shared" si="8"/>
        <v>-125.43110441475405</v>
      </c>
      <c r="G86" s="6">
        <f t="shared" si="9"/>
        <v>165.67813293173373</v>
      </c>
      <c r="H86" s="6">
        <f t="shared" si="10"/>
        <v>-123.50218727052533</v>
      </c>
      <c r="J86" s="59"/>
    </row>
    <row r="87" spans="1:10" ht="12" customHeight="1">
      <c r="A87" s="82"/>
      <c r="B87" s="4" t="s">
        <v>21</v>
      </c>
      <c r="C87" s="5" t="s">
        <v>130</v>
      </c>
      <c r="D87" s="2" t="s">
        <v>124</v>
      </c>
      <c r="E87" s="6">
        <f t="shared" si="7"/>
        <v>-136.6861030817864</v>
      </c>
      <c r="F87" s="6">
        <f t="shared" si="8"/>
        <v>-156.25149994779818</v>
      </c>
      <c r="G87" s="6">
        <f t="shared" si="9"/>
        <v>159.33750869097275</v>
      </c>
      <c r="H87" s="6">
        <f t="shared" si="10"/>
        <v>-154.55691678582642</v>
      </c>
      <c r="J87" s="59"/>
    </row>
    <row r="88" spans="1:10" ht="12" customHeight="1">
      <c r="A88" s="82"/>
      <c r="B88" s="4" t="s">
        <v>22</v>
      </c>
      <c r="C88" s="5" t="s">
        <v>130</v>
      </c>
      <c r="D88" s="2" t="s">
        <v>124</v>
      </c>
      <c r="E88" s="6">
        <f t="shared" si="7"/>
        <v>-152.0616222306849</v>
      </c>
      <c r="F88" s="6">
        <f t="shared" si="8"/>
        <v>-183.86135873086957</v>
      </c>
      <c r="G88" s="6">
        <f t="shared" si="9"/>
        <v>148.3209466685476</v>
      </c>
      <c r="H88" s="6">
        <f t="shared" si="10"/>
        <v>175.8190174791383</v>
      </c>
      <c r="J88" s="59"/>
    </row>
    <row r="89" spans="1:10" ht="12" customHeight="1">
      <c r="A89" s="82"/>
      <c r="B89" s="4" t="s">
        <v>23</v>
      </c>
      <c r="C89" s="5" t="s">
        <v>130</v>
      </c>
      <c r="D89" s="2" t="s">
        <v>124</v>
      </c>
      <c r="E89" s="6">
        <f t="shared" si="7"/>
        <v>-159.33733788608248</v>
      </c>
      <c r="F89" s="6">
        <f t="shared" si="8"/>
        <v>-203.74837398543895</v>
      </c>
      <c r="G89" s="6">
        <f t="shared" si="9"/>
        <v>136.68629905558552</v>
      </c>
      <c r="H89" s="6">
        <f t="shared" si="10"/>
        <v>154.55707466584454</v>
      </c>
      <c r="J89" s="59"/>
    </row>
    <row r="90" spans="1:10" ht="12" customHeight="1">
      <c r="A90" s="82"/>
      <c r="B90" s="4" t="s">
        <v>24</v>
      </c>
      <c r="C90" s="5" t="s">
        <v>130</v>
      </c>
      <c r="D90" s="2" t="s">
        <v>124</v>
      </c>
      <c r="E90" s="6">
        <f t="shared" si="7"/>
        <v>-166.37232411290552</v>
      </c>
      <c r="F90" s="6">
        <f t="shared" si="8"/>
        <v>-239.49100489902816</v>
      </c>
      <c r="G90" s="6">
        <f t="shared" si="9"/>
        <v>112.4152729342948</v>
      </c>
      <c r="H90" s="6">
        <f t="shared" si="10"/>
        <v>118.78109729893012</v>
      </c>
      <c r="J90" s="59"/>
    </row>
    <row r="91" spans="1:10" ht="12" customHeight="1">
      <c r="A91" s="82"/>
      <c r="B91" s="4" t="s">
        <v>25</v>
      </c>
      <c r="C91" s="5" t="s">
        <v>130</v>
      </c>
      <c r="D91" s="2" t="s">
        <v>124</v>
      </c>
      <c r="E91" s="6">
        <f t="shared" si="7"/>
        <v>-169.81917985751804</v>
      </c>
      <c r="F91" s="6">
        <f t="shared" si="8"/>
        <v>-269.99998802305686</v>
      </c>
      <c r="G91" s="6">
        <f t="shared" si="9"/>
        <v>90.00014446171812</v>
      </c>
      <c r="H91" s="6">
        <f t="shared" si="10"/>
        <v>90.62434168594791</v>
      </c>
      <c r="J91" s="59"/>
    </row>
    <row r="92" spans="1:10" ht="12" customHeight="1">
      <c r="A92" s="82"/>
      <c r="B92" s="4" t="s">
        <v>26</v>
      </c>
      <c r="C92" s="5" t="s">
        <v>130</v>
      </c>
      <c r="D92" s="2" t="s">
        <v>124</v>
      </c>
      <c r="E92" s="6">
        <f t="shared" si="7"/>
        <v>-171.87029995857313</v>
      </c>
      <c r="F92" s="6">
        <f t="shared" si="8"/>
        <v>-291.371636005043</v>
      </c>
      <c r="G92" s="6">
        <f t="shared" si="9"/>
        <v>72.349156001785</v>
      </c>
      <c r="H92" s="6">
        <f t="shared" si="10"/>
        <v>71.34252303699523</v>
      </c>
      <c r="J92" s="59"/>
    </row>
    <row r="93" spans="1:10" ht="12" customHeight="1">
      <c r="A93" s="82"/>
      <c r="B93" s="4" t="s">
        <v>27</v>
      </c>
      <c r="C93" s="5" t="s">
        <v>130</v>
      </c>
      <c r="D93" s="2" t="s">
        <v>124</v>
      </c>
      <c r="E93" s="6">
        <f t="shared" si="7"/>
        <v>-174.20243447268027</v>
      </c>
      <c r="F93" s="6">
        <f t="shared" si="8"/>
        <v>-314.65110079799337</v>
      </c>
      <c r="G93" s="6">
        <f t="shared" si="9"/>
        <v>50.193080586348515</v>
      </c>
      <c r="H93" s="6">
        <f t="shared" si="10"/>
        <v>49.31238951036346</v>
      </c>
      <c r="J93" s="59"/>
    </row>
    <row r="94" spans="1:10" ht="12" customHeight="1">
      <c r="A94" s="82"/>
      <c r="B94" s="4" t="s">
        <v>28</v>
      </c>
      <c r="C94" s="5" t="s">
        <v>130</v>
      </c>
      <c r="D94" s="2" t="s">
        <v>124</v>
      </c>
      <c r="E94" s="6">
        <f t="shared" si="7"/>
        <v>-175.9452020337848</v>
      </c>
      <c r="F94" s="6">
        <f t="shared" si="8"/>
        <v>-329.9327830651992</v>
      </c>
      <c r="G94" s="6">
        <f t="shared" si="9"/>
        <v>33.957765135879534</v>
      </c>
      <c r="H94" s="6">
        <f t="shared" si="10"/>
        <v>33.579512506642814</v>
      </c>
      <c r="J94" s="59"/>
    </row>
    <row r="95" spans="1:10" ht="12" customHeight="1">
      <c r="A95" s="82"/>
      <c r="B95" s="4" t="s">
        <v>29</v>
      </c>
      <c r="C95" s="5" t="s">
        <v>130</v>
      </c>
      <c r="D95" s="2" t="s">
        <v>124</v>
      </c>
      <c r="E95" s="6">
        <f t="shared" si="7"/>
        <v>-177.29804908356812</v>
      </c>
      <c r="F95" s="6">
        <f t="shared" si="8"/>
        <v>-340.58363736759986</v>
      </c>
      <c r="G95" s="6">
        <f t="shared" si="9"/>
        <v>22.096911383183723</v>
      </c>
      <c r="H95" s="6">
        <f t="shared" si="10"/>
        <v>21.976033851967212</v>
      </c>
      <c r="J95" s="59"/>
    </row>
    <row r="96" spans="1:10" ht="12" customHeight="1">
      <c r="A96" s="83"/>
      <c r="B96" s="4" t="s">
        <v>30</v>
      </c>
      <c r="C96" s="5" t="s">
        <v>130</v>
      </c>
      <c r="D96" s="2" t="s">
        <v>124</v>
      </c>
      <c r="E96" s="6">
        <f t="shared" si="7"/>
        <v>-177.973864711587</v>
      </c>
      <c r="F96" s="6">
        <f t="shared" si="8"/>
        <v>-345.60472813605486</v>
      </c>
      <c r="G96" s="6">
        <f t="shared" si="9"/>
        <v>16.416468453152955</v>
      </c>
      <c r="H96" s="6">
        <f t="shared" si="10"/>
        <v>16.364437020561734</v>
      </c>
      <c r="J96" s="59"/>
    </row>
    <row r="97" spans="1:13" ht="12" customHeight="1">
      <c r="A97" s="81" t="s">
        <v>118</v>
      </c>
      <c r="B97" s="4">
        <v>20</v>
      </c>
      <c r="C97" s="5" t="s">
        <v>130</v>
      </c>
      <c r="D97" s="2" t="s">
        <v>127</v>
      </c>
      <c r="E97" s="6">
        <f aca="true" t="shared" si="11" ref="E97:H118">2*3.14159*$B97*E$18*0.001</f>
        <v>0.3394109682811204</v>
      </c>
      <c r="F97" s="6">
        <f t="shared" si="11"/>
        <v>0.2969845972459803</v>
      </c>
      <c r="G97" s="6">
        <f t="shared" si="11"/>
        <v>0.048487281183017206</v>
      </c>
      <c r="H97" s="6">
        <f t="shared" si="11"/>
        <v>0.04242637103514005</v>
      </c>
      <c r="J97" s="10"/>
      <c r="K97" s="10"/>
      <c r="L97" s="10"/>
      <c r="M97" s="10"/>
    </row>
    <row r="98" spans="1:8" ht="12" customHeight="1">
      <c r="A98" s="82"/>
      <c r="B98" s="4">
        <v>30</v>
      </c>
      <c r="C98" s="5" t="s">
        <v>130</v>
      </c>
      <c r="D98" s="2" t="s">
        <v>127</v>
      </c>
      <c r="E98" s="6">
        <f t="shared" si="11"/>
        <v>0.5091164524216806</v>
      </c>
      <c r="F98" s="6">
        <f t="shared" si="11"/>
        <v>0.4454768958689705</v>
      </c>
      <c r="G98" s="6">
        <f t="shared" si="11"/>
        <v>0.0727309217745258</v>
      </c>
      <c r="H98" s="6">
        <f t="shared" si="11"/>
        <v>0.06363955655271007</v>
      </c>
    </row>
    <row r="99" spans="1:8" ht="12" customHeight="1">
      <c r="A99" s="82"/>
      <c r="B99" s="4">
        <v>40</v>
      </c>
      <c r="C99" s="5" t="s">
        <v>130</v>
      </c>
      <c r="D99" s="2" t="s">
        <v>127</v>
      </c>
      <c r="E99" s="6">
        <f t="shared" si="11"/>
        <v>0.6788219365622408</v>
      </c>
      <c r="F99" s="6">
        <f t="shared" si="11"/>
        <v>0.5939691944919606</v>
      </c>
      <c r="G99" s="6">
        <f t="shared" si="11"/>
        <v>0.09697456236603441</v>
      </c>
      <c r="H99" s="6">
        <f t="shared" si="11"/>
        <v>0.0848527420702801</v>
      </c>
    </row>
    <row r="100" spans="1:8" ht="12" customHeight="1">
      <c r="A100" s="82"/>
      <c r="B100" s="4">
        <v>50</v>
      </c>
      <c r="C100" s="5" t="s">
        <v>130</v>
      </c>
      <c r="D100" s="2" t="s">
        <v>127</v>
      </c>
      <c r="E100" s="6">
        <f t="shared" si="11"/>
        <v>0.8485274207028011</v>
      </c>
      <c r="F100" s="6">
        <f t="shared" si="11"/>
        <v>0.7424614931149507</v>
      </c>
      <c r="G100" s="6">
        <f t="shared" si="11"/>
        <v>0.121218202957543</v>
      </c>
      <c r="H100" s="6">
        <f t="shared" si="11"/>
        <v>0.10606592758785013</v>
      </c>
    </row>
    <row r="101" spans="1:8" ht="12" customHeight="1">
      <c r="A101" s="82"/>
      <c r="B101" s="4">
        <v>70</v>
      </c>
      <c r="C101" s="5" t="s">
        <v>130</v>
      </c>
      <c r="D101" s="2" t="s">
        <v>127</v>
      </c>
      <c r="E101" s="6">
        <f t="shared" si="11"/>
        <v>1.1879383889839215</v>
      </c>
      <c r="F101" s="6">
        <f t="shared" si="11"/>
        <v>1.039446090360931</v>
      </c>
      <c r="G101" s="6">
        <f t="shared" si="11"/>
        <v>0.1697054841405602</v>
      </c>
      <c r="H101" s="6">
        <f t="shared" si="11"/>
        <v>0.14849229862299018</v>
      </c>
    </row>
    <row r="102" spans="1:8" ht="12" customHeight="1">
      <c r="A102" s="82"/>
      <c r="B102" s="4">
        <v>100</v>
      </c>
      <c r="C102" s="5" t="s">
        <v>130</v>
      </c>
      <c r="D102" s="2" t="s">
        <v>127</v>
      </c>
      <c r="E102" s="6">
        <f t="shared" si="11"/>
        <v>1.6970548414056021</v>
      </c>
      <c r="F102" s="6">
        <f t="shared" si="11"/>
        <v>1.4849229862299014</v>
      </c>
      <c r="G102" s="6">
        <f t="shared" si="11"/>
        <v>0.242436405915086</v>
      </c>
      <c r="H102" s="6">
        <f t="shared" si="11"/>
        <v>0.21213185517570027</v>
      </c>
    </row>
    <row r="103" spans="1:8" ht="12" customHeight="1">
      <c r="A103" s="82"/>
      <c r="B103" s="4">
        <v>150</v>
      </c>
      <c r="C103" s="5" t="s">
        <v>130</v>
      </c>
      <c r="D103" s="2" t="s">
        <v>127</v>
      </c>
      <c r="E103" s="6">
        <f t="shared" si="11"/>
        <v>2.545582262108403</v>
      </c>
      <c r="F103" s="6">
        <f t="shared" si="11"/>
        <v>2.2273844793448525</v>
      </c>
      <c r="G103" s="6">
        <f t="shared" si="11"/>
        <v>0.363654608872629</v>
      </c>
      <c r="H103" s="6">
        <f t="shared" si="11"/>
        <v>0.3181977827635504</v>
      </c>
    </row>
    <row r="104" spans="1:8" ht="12" customHeight="1">
      <c r="A104" s="82"/>
      <c r="B104" s="4">
        <v>200</v>
      </c>
      <c r="C104" s="5" t="s">
        <v>130</v>
      </c>
      <c r="D104" s="2" t="s">
        <v>127</v>
      </c>
      <c r="E104" s="6">
        <f t="shared" si="11"/>
        <v>3.3941096828112043</v>
      </c>
      <c r="F104" s="6">
        <f t="shared" si="11"/>
        <v>2.9698459724598028</v>
      </c>
      <c r="G104" s="6">
        <f t="shared" si="11"/>
        <v>0.484872811830172</v>
      </c>
      <c r="H104" s="6">
        <f t="shared" si="11"/>
        <v>0.42426371035140054</v>
      </c>
    </row>
    <row r="105" spans="1:8" ht="12" customHeight="1">
      <c r="A105" s="82"/>
      <c r="B105" s="4">
        <v>300</v>
      </c>
      <c r="C105" s="5" t="s">
        <v>130</v>
      </c>
      <c r="D105" s="2" t="s">
        <v>127</v>
      </c>
      <c r="E105" s="6">
        <f t="shared" si="11"/>
        <v>5.091164524216806</v>
      </c>
      <c r="F105" s="6">
        <f t="shared" si="11"/>
        <v>4.454768958689705</v>
      </c>
      <c r="G105" s="6">
        <f t="shared" si="11"/>
        <v>0.727309217745258</v>
      </c>
      <c r="H105" s="6">
        <f t="shared" si="11"/>
        <v>0.6363955655271007</v>
      </c>
    </row>
    <row r="106" spans="1:8" ht="12" customHeight="1">
      <c r="A106" s="82"/>
      <c r="B106" s="4">
        <v>400</v>
      </c>
      <c r="C106" s="5" t="s">
        <v>130</v>
      </c>
      <c r="D106" s="2" t="s">
        <v>127</v>
      </c>
      <c r="E106" s="6">
        <f t="shared" si="11"/>
        <v>6.788219365622409</v>
      </c>
      <c r="F106" s="6">
        <f t="shared" si="11"/>
        <v>5.9396919449196055</v>
      </c>
      <c r="G106" s="6">
        <f t="shared" si="11"/>
        <v>0.969745623660344</v>
      </c>
      <c r="H106" s="6">
        <f t="shared" si="11"/>
        <v>0.8485274207028011</v>
      </c>
    </row>
    <row r="107" spans="1:8" ht="12" customHeight="1">
      <c r="A107" s="82"/>
      <c r="B107" s="4">
        <v>500</v>
      </c>
      <c r="C107" s="5" t="s">
        <v>130</v>
      </c>
      <c r="D107" s="2" t="s">
        <v>127</v>
      </c>
      <c r="E107" s="6">
        <f t="shared" si="11"/>
        <v>8.48527420702801</v>
      </c>
      <c r="F107" s="6">
        <f t="shared" si="11"/>
        <v>7.424614931149508</v>
      </c>
      <c r="G107" s="6">
        <f t="shared" si="11"/>
        <v>1.21218202957543</v>
      </c>
      <c r="H107" s="6">
        <f t="shared" si="11"/>
        <v>1.0606592758785012</v>
      </c>
    </row>
    <row r="108" spans="1:8" ht="12" customHeight="1">
      <c r="A108" s="82"/>
      <c r="B108" s="4">
        <v>700</v>
      </c>
      <c r="C108" s="5" t="s">
        <v>130</v>
      </c>
      <c r="D108" s="2" t="s">
        <v>127</v>
      </c>
      <c r="E108" s="6">
        <f t="shared" si="11"/>
        <v>11.879383889839213</v>
      </c>
      <c r="F108" s="6">
        <f t="shared" si="11"/>
        <v>10.39446090360931</v>
      </c>
      <c r="G108" s="6">
        <f t="shared" si="11"/>
        <v>1.697054841405602</v>
      </c>
      <c r="H108" s="6">
        <f t="shared" si="11"/>
        <v>1.4849229862299016</v>
      </c>
    </row>
    <row r="109" spans="1:8" ht="12" customHeight="1">
      <c r="A109" s="82"/>
      <c r="B109" s="4">
        <v>1000</v>
      </c>
      <c r="C109" s="5" t="s">
        <v>130</v>
      </c>
      <c r="D109" s="2" t="s">
        <v>127</v>
      </c>
      <c r="E109" s="6">
        <f t="shared" si="11"/>
        <v>16.97054841405602</v>
      </c>
      <c r="F109" s="6">
        <f t="shared" si="11"/>
        <v>14.849229862299016</v>
      </c>
      <c r="G109" s="6">
        <f t="shared" si="11"/>
        <v>2.42436405915086</v>
      </c>
      <c r="H109" s="6">
        <f t="shared" si="11"/>
        <v>2.1213185517570023</v>
      </c>
    </row>
    <row r="110" spans="1:8" ht="12" customHeight="1">
      <c r="A110" s="82"/>
      <c r="B110" s="4">
        <v>1500</v>
      </c>
      <c r="C110" s="5" t="s">
        <v>130</v>
      </c>
      <c r="D110" s="2" t="s">
        <v>127</v>
      </c>
      <c r="E110" s="6">
        <f t="shared" si="11"/>
        <v>25.455822621084035</v>
      </c>
      <c r="F110" s="6">
        <f t="shared" si="11"/>
        <v>22.273844793448525</v>
      </c>
      <c r="G110" s="6">
        <f t="shared" si="11"/>
        <v>3.6365460887262904</v>
      </c>
      <c r="H110" s="6">
        <f t="shared" si="11"/>
        <v>3.1819778276355044</v>
      </c>
    </row>
    <row r="111" spans="1:8" ht="12" customHeight="1">
      <c r="A111" s="82"/>
      <c r="B111" s="4">
        <v>2000</v>
      </c>
      <c r="C111" s="5" t="s">
        <v>130</v>
      </c>
      <c r="D111" s="2" t="s">
        <v>127</v>
      </c>
      <c r="E111" s="6">
        <f t="shared" si="11"/>
        <v>33.94109682811204</v>
      </c>
      <c r="F111" s="6">
        <f t="shared" si="11"/>
        <v>29.69845972459803</v>
      </c>
      <c r="G111" s="6">
        <f t="shared" si="11"/>
        <v>4.84872811830172</v>
      </c>
      <c r="H111" s="6">
        <f t="shared" si="11"/>
        <v>4.242637103514005</v>
      </c>
    </row>
    <row r="112" spans="1:8" ht="12" customHeight="1">
      <c r="A112" s="82"/>
      <c r="B112" s="4">
        <v>3000</v>
      </c>
      <c r="C112" s="5" t="s">
        <v>130</v>
      </c>
      <c r="D112" s="2" t="s">
        <v>127</v>
      </c>
      <c r="E112" s="6">
        <f t="shared" si="11"/>
        <v>50.91164524216807</v>
      </c>
      <c r="F112" s="6">
        <f t="shared" si="11"/>
        <v>44.54768958689705</v>
      </c>
      <c r="G112" s="6">
        <f t="shared" si="11"/>
        <v>7.273092177452581</v>
      </c>
      <c r="H112" s="6">
        <f t="shared" si="11"/>
        <v>6.363955655271009</v>
      </c>
    </row>
    <row r="113" spans="1:8" ht="12" customHeight="1">
      <c r="A113" s="82"/>
      <c r="B113" s="4">
        <v>4000</v>
      </c>
      <c r="C113" s="5" t="s">
        <v>130</v>
      </c>
      <c r="D113" s="2" t="s">
        <v>127</v>
      </c>
      <c r="E113" s="6">
        <f t="shared" si="11"/>
        <v>67.88219365622408</v>
      </c>
      <c r="F113" s="6">
        <f t="shared" si="11"/>
        <v>59.39691944919606</v>
      </c>
      <c r="G113" s="6">
        <f t="shared" si="11"/>
        <v>9.69745623660344</v>
      </c>
      <c r="H113" s="6">
        <f t="shared" si="11"/>
        <v>8.48527420702801</v>
      </c>
    </row>
    <row r="114" spans="1:8" ht="12" customHeight="1">
      <c r="A114" s="82"/>
      <c r="B114" s="4">
        <v>5000</v>
      </c>
      <c r="C114" s="5" t="s">
        <v>130</v>
      </c>
      <c r="D114" s="2" t="s">
        <v>127</v>
      </c>
      <c r="E114" s="6">
        <f t="shared" si="11"/>
        <v>84.8527420702801</v>
      </c>
      <c r="F114" s="6">
        <f t="shared" si="11"/>
        <v>74.24614931149507</v>
      </c>
      <c r="G114" s="6">
        <f t="shared" si="11"/>
        <v>12.1218202957543</v>
      </c>
      <c r="H114" s="6">
        <f t="shared" si="11"/>
        <v>10.606592758785013</v>
      </c>
    </row>
    <row r="115" spans="1:8" ht="12" customHeight="1">
      <c r="A115" s="82"/>
      <c r="B115" s="4">
        <v>7000</v>
      </c>
      <c r="C115" s="5" t="s">
        <v>130</v>
      </c>
      <c r="D115" s="2" t="s">
        <v>127</v>
      </c>
      <c r="E115" s="6">
        <f t="shared" si="11"/>
        <v>118.79383889839214</v>
      </c>
      <c r="F115" s="6">
        <f t="shared" si="11"/>
        <v>103.9446090360931</v>
      </c>
      <c r="G115" s="6">
        <f t="shared" si="11"/>
        <v>16.97054841405602</v>
      </c>
      <c r="H115" s="6">
        <f t="shared" si="11"/>
        <v>14.849229862299017</v>
      </c>
    </row>
    <row r="116" spans="1:8" ht="12" customHeight="1">
      <c r="A116" s="82"/>
      <c r="B116" s="4">
        <v>10000</v>
      </c>
      <c r="C116" s="5" t="s">
        <v>130</v>
      </c>
      <c r="D116" s="2" t="s">
        <v>127</v>
      </c>
      <c r="E116" s="6">
        <f t="shared" si="11"/>
        <v>169.7054841405602</v>
      </c>
      <c r="F116" s="6">
        <f t="shared" si="11"/>
        <v>148.49229862299015</v>
      </c>
      <c r="G116" s="6">
        <f t="shared" si="11"/>
        <v>24.2436405915086</v>
      </c>
      <c r="H116" s="6">
        <f t="shared" si="11"/>
        <v>21.213185517570025</v>
      </c>
    </row>
    <row r="117" spans="1:8" ht="12" customHeight="1">
      <c r="A117" s="82"/>
      <c r="B117" s="4">
        <v>15000</v>
      </c>
      <c r="C117" s="5" t="s">
        <v>130</v>
      </c>
      <c r="D117" s="2" t="s">
        <v>127</v>
      </c>
      <c r="E117" s="6">
        <f t="shared" si="11"/>
        <v>254.5582262108403</v>
      </c>
      <c r="F117" s="6">
        <f t="shared" si="11"/>
        <v>222.7384479344852</v>
      </c>
      <c r="G117" s="6">
        <f t="shared" si="11"/>
        <v>36.365460887262905</v>
      </c>
      <c r="H117" s="6">
        <f t="shared" si="11"/>
        <v>31.819778276355038</v>
      </c>
    </row>
    <row r="118" spans="1:8" ht="12" customHeight="1">
      <c r="A118" s="83"/>
      <c r="B118" s="4">
        <v>20000</v>
      </c>
      <c r="C118" s="5" t="s">
        <v>130</v>
      </c>
      <c r="D118" s="2" t="s">
        <v>127</v>
      </c>
      <c r="E118" s="6">
        <f t="shared" si="11"/>
        <v>339.4109682811204</v>
      </c>
      <c r="F118" s="6">
        <f t="shared" si="11"/>
        <v>296.9845972459803</v>
      </c>
      <c r="G118" s="6">
        <f t="shared" si="11"/>
        <v>48.4872811830172</v>
      </c>
      <c r="H118" s="6">
        <f t="shared" si="11"/>
        <v>42.42637103514005</v>
      </c>
    </row>
    <row r="119" spans="1:13" ht="12" customHeight="1">
      <c r="A119" s="81" t="s">
        <v>119</v>
      </c>
      <c r="B119" s="4">
        <v>20</v>
      </c>
      <c r="C119" s="5" t="s">
        <v>130</v>
      </c>
      <c r="D119" s="2" t="s">
        <v>127</v>
      </c>
      <c r="E119" s="6">
        <f aca="true" t="shared" si="12" ref="E119:H140">1/(2*3.14159*$B97*E$19/1000000)</f>
        <v>212.13221353637965</v>
      </c>
      <c r="F119" s="6">
        <f t="shared" si="12"/>
        <v>242.43681547014825</v>
      </c>
      <c r="G119" s="6">
        <f t="shared" si="12"/>
        <v>1484.9254947546572</v>
      </c>
      <c r="H119" s="6">
        <f t="shared" si="12"/>
        <v>1697.0577082910372</v>
      </c>
      <c r="J119" s="10"/>
      <c r="K119" s="10"/>
      <c r="L119" s="10"/>
      <c r="M119" s="10"/>
    </row>
    <row r="120" spans="1:8" ht="12" customHeight="1">
      <c r="A120" s="82"/>
      <c r="B120" s="4">
        <v>30</v>
      </c>
      <c r="C120" s="5" t="s">
        <v>130</v>
      </c>
      <c r="D120" s="2" t="s">
        <v>127</v>
      </c>
      <c r="E120" s="6">
        <f t="shared" si="12"/>
        <v>141.42147569091975</v>
      </c>
      <c r="F120" s="6">
        <f t="shared" si="12"/>
        <v>161.62454364676552</v>
      </c>
      <c r="G120" s="6">
        <f t="shared" si="12"/>
        <v>989.9503298364383</v>
      </c>
      <c r="H120" s="6">
        <f t="shared" si="12"/>
        <v>1131.371805527358</v>
      </c>
    </row>
    <row r="121" spans="1:8" ht="12" customHeight="1">
      <c r="A121" s="82"/>
      <c r="B121" s="4">
        <v>40</v>
      </c>
      <c r="C121" s="5" t="s">
        <v>130</v>
      </c>
      <c r="D121" s="2" t="s">
        <v>127</v>
      </c>
      <c r="E121" s="6">
        <f t="shared" si="12"/>
        <v>106.06610676818983</v>
      </c>
      <c r="F121" s="6">
        <f t="shared" si="12"/>
        <v>121.21840773507412</v>
      </c>
      <c r="G121" s="6">
        <f t="shared" si="12"/>
        <v>742.4627473773286</v>
      </c>
      <c r="H121" s="6">
        <f t="shared" si="12"/>
        <v>848.5288541455186</v>
      </c>
    </row>
    <row r="122" spans="1:8" ht="12" customHeight="1">
      <c r="A122" s="82"/>
      <c r="B122" s="4">
        <v>50</v>
      </c>
      <c r="C122" s="5" t="s">
        <v>130</v>
      </c>
      <c r="D122" s="2" t="s">
        <v>127</v>
      </c>
      <c r="E122" s="6">
        <f t="shared" si="12"/>
        <v>84.85288541455186</v>
      </c>
      <c r="F122" s="6">
        <f t="shared" si="12"/>
        <v>96.97472618805931</v>
      </c>
      <c r="G122" s="6">
        <f t="shared" si="12"/>
        <v>593.970197901863</v>
      </c>
      <c r="H122" s="6">
        <f t="shared" si="12"/>
        <v>678.8230833164149</v>
      </c>
    </row>
    <row r="123" spans="1:8" ht="12" customHeight="1">
      <c r="A123" s="82"/>
      <c r="B123" s="4">
        <v>70</v>
      </c>
      <c r="C123" s="5" t="s">
        <v>130</v>
      </c>
      <c r="D123" s="2" t="s">
        <v>127</v>
      </c>
      <c r="E123" s="6">
        <f t="shared" si="12"/>
        <v>60.60920386753705</v>
      </c>
      <c r="F123" s="6">
        <f t="shared" si="12"/>
        <v>69.2676615628995</v>
      </c>
      <c r="G123" s="6">
        <f t="shared" si="12"/>
        <v>424.26442707275936</v>
      </c>
      <c r="H123" s="6">
        <f t="shared" si="12"/>
        <v>484.8736309402964</v>
      </c>
    </row>
    <row r="124" spans="1:8" ht="12" customHeight="1">
      <c r="A124" s="82"/>
      <c r="B124" s="4">
        <v>100</v>
      </c>
      <c r="C124" s="5" t="s">
        <v>130</v>
      </c>
      <c r="D124" s="2" t="s">
        <v>127</v>
      </c>
      <c r="E124" s="6">
        <f t="shared" si="12"/>
        <v>42.42644270727593</v>
      </c>
      <c r="F124" s="6">
        <f t="shared" si="12"/>
        <v>48.487363094029654</v>
      </c>
      <c r="G124" s="6">
        <f t="shared" si="12"/>
        <v>296.9850989509315</v>
      </c>
      <c r="H124" s="6">
        <f t="shared" si="12"/>
        <v>339.41154165820745</v>
      </c>
    </row>
    <row r="125" spans="1:8" ht="12" customHeight="1">
      <c r="A125" s="82"/>
      <c r="B125" s="4">
        <v>150</v>
      </c>
      <c r="C125" s="5" t="s">
        <v>130</v>
      </c>
      <c r="D125" s="2" t="s">
        <v>127</v>
      </c>
      <c r="E125" s="6">
        <f t="shared" si="12"/>
        <v>28.284295138183953</v>
      </c>
      <c r="F125" s="6">
        <f t="shared" si="12"/>
        <v>32.3249087293531</v>
      </c>
      <c r="G125" s="6">
        <f t="shared" si="12"/>
        <v>197.99006596728765</v>
      </c>
      <c r="H125" s="6">
        <f t="shared" si="12"/>
        <v>226.27436110547163</v>
      </c>
    </row>
    <row r="126" spans="1:8" ht="12" customHeight="1">
      <c r="A126" s="82"/>
      <c r="B126" s="4">
        <v>200</v>
      </c>
      <c r="C126" s="5" t="s">
        <v>130</v>
      </c>
      <c r="D126" s="2" t="s">
        <v>127</v>
      </c>
      <c r="E126" s="6">
        <f t="shared" si="12"/>
        <v>21.213221353637966</v>
      </c>
      <c r="F126" s="6">
        <f t="shared" si="12"/>
        <v>24.243681547014827</v>
      </c>
      <c r="G126" s="6">
        <f t="shared" si="12"/>
        <v>148.49254947546575</v>
      </c>
      <c r="H126" s="6">
        <f t="shared" si="12"/>
        <v>169.70577082910373</v>
      </c>
    </row>
    <row r="127" spans="1:8" ht="12" customHeight="1">
      <c r="A127" s="82"/>
      <c r="B127" s="4">
        <v>300</v>
      </c>
      <c r="C127" s="5" t="s">
        <v>130</v>
      </c>
      <c r="D127" s="2" t="s">
        <v>127</v>
      </c>
      <c r="E127" s="6">
        <f t="shared" si="12"/>
        <v>14.142147569091977</v>
      </c>
      <c r="F127" s="6">
        <f t="shared" si="12"/>
        <v>16.16245436467655</v>
      </c>
      <c r="G127" s="6">
        <f t="shared" si="12"/>
        <v>98.99503298364382</v>
      </c>
      <c r="H127" s="6">
        <f t="shared" si="12"/>
        <v>113.13718055273581</v>
      </c>
    </row>
    <row r="128" spans="1:8" ht="12" customHeight="1">
      <c r="A128" s="82"/>
      <c r="B128" s="4">
        <v>400</v>
      </c>
      <c r="C128" s="5" t="s">
        <v>130</v>
      </c>
      <c r="D128" s="2" t="s">
        <v>127</v>
      </c>
      <c r="E128" s="6">
        <f t="shared" si="12"/>
        <v>10.606610676818983</v>
      </c>
      <c r="F128" s="6">
        <f t="shared" si="12"/>
        <v>12.121840773507413</v>
      </c>
      <c r="G128" s="6">
        <f t="shared" si="12"/>
        <v>74.24627473773288</v>
      </c>
      <c r="H128" s="6">
        <f t="shared" si="12"/>
        <v>84.85288541455186</v>
      </c>
    </row>
    <row r="129" spans="1:8" ht="12" customHeight="1">
      <c r="A129" s="82"/>
      <c r="B129" s="4">
        <v>500</v>
      </c>
      <c r="C129" s="5" t="s">
        <v>130</v>
      </c>
      <c r="D129" s="2" t="s">
        <v>127</v>
      </c>
      <c r="E129" s="6">
        <f t="shared" si="12"/>
        <v>8.485288541455187</v>
      </c>
      <c r="F129" s="6">
        <f t="shared" si="12"/>
        <v>9.697472618805932</v>
      </c>
      <c r="G129" s="6">
        <f t="shared" si="12"/>
        <v>59.3970197901863</v>
      </c>
      <c r="H129" s="6">
        <f t="shared" si="12"/>
        <v>67.8823083316415</v>
      </c>
    </row>
    <row r="130" spans="1:8" ht="12" customHeight="1">
      <c r="A130" s="82"/>
      <c r="B130" s="4">
        <v>700</v>
      </c>
      <c r="C130" s="5" t="s">
        <v>130</v>
      </c>
      <c r="D130" s="2" t="s">
        <v>127</v>
      </c>
      <c r="E130" s="6">
        <f t="shared" si="12"/>
        <v>6.060920386753705</v>
      </c>
      <c r="F130" s="6">
        <f t="shared" si="12"/>
        <v>6.9267661562899505</v>
      </c>
      <c r="G130" s="6">
        <f t="shared" si="12"/>
        <v>42.42644270727593</v>
      </c>
      <c r="H130" s="6">
        <f t="shared" si="12"/>
        <v>48.48736309402964</v>
      </c>
    </row>
    <row r="131" spans="1:8" ht="12" customHeight="1">
      <c r="A131" s="82"/>
      <c r="B131" s="4">
        <v>1000</v>
      </c>
      <c r="C131" s="5" t="s">
        <v>130</v>
      </c>
      <c r="D131" s="2" t="s">
        <v>127</v>
      </c>
      <c r="E131" s="6">
        <f t="shared" si="12"/>
        <v>4.2426442707275935</v>
      </c>
      <c r="F131" s="6">
        <f t="shared" si="12"/>
        <v>4.848736309402966</v>
      </c>
      <c r="G131" s="6">
        <f t="shared" si="12"/>
        <v>29.69850989509315</v>
      </c>
      <c r="H131" s="6">
        <f t="shared" si="12"/>
        <v>33.94115416582075</v>
      </c>
    </row>
    <row r="132" spans="1:8" ht="12" customHeight="1">
      <c r="A132" s="82"/>
      <c r="B132" s="4">
        <v>1500</v>
      </c>
      <c r="C132" s="5" t="s">
        <v>130</v>
      </c>
      <c r="D132" s="2" t="s">
        <v>127</v>
      </c>
      <c r="E132" s="6">
        <f t="shared" si="12"/>
        <v>2.828429513818395</v>
      </c>
      <c r="F132" s="6">
        <f t="shared" si="12"/>
        <v>3.2324908729353092</v>
      </c>
      <c r="G132" s="6">
        <f t="shared" si="12"/>
        <v>19.799006596728763</v>
      </c>
      <c r="H132" s="6">
        <f t="shared" si="12"/>
        <v>22.62743611054716</v>
      </c>
    </row>
    <row r="133" spans="1:8" ht="12" customHeight="1">
      <c r="A133" s="82"/>
      <c r="B133" s="4">
        <v>2000</v>
      </c>
      <c r="C133" s="5" t="s">
        <v>130</v>
      </c>
      <c r="D133" s="2" t="s">
        <v>127</v>
      </c>
      <c r="E133" s="6">
        <f t="shared" si="12"/>
        <v>2.1213221353637968</v>
      </c>
      <c r="F133" s="6">
        <f t="shared" si="12"/>
        <v>2.424368154701483</v>
      </c>
      <c r="G133" s="6">
        <f t="shared" si="12"/>
        <v>14.849254947546575</v>
      </c>
      <c r="H133" s="6">
        <f t="shared" si="12"/>
        <v>16.970577082910374</v>
      </c>
    </row>
    <row r="134" spans="1:8" ht="12" customHeight="1">
      <c r="A134" s="82"/>
      <c r="B134" s="4">
        <v>3000</v>
      </c>
      <c r="C134" s="5" t="s">
        <v>130</v>
      </c>
      <c r="D134" s="2" t="s">
        <v>127</v>
      </c>
      <c r="E134" s="6">
        <f t="shared" si="12"/>
        <v>1.4142147569091974</v>
      </c>
      <c r="F134" s="6">
        <f t="shared" si="12"/>
        <v>1.6162454364676546</v>
      </c>
      <c r="G134" s="6">
        <f t="shared" si="12"/>
        <v>9.899503298364381</v>
      </c>
      <c r="H134" s="6">
        <f t="shared" si="12"/>
        <v>11.31371805527358</v>
      </c>
    </row>
    <row r="135" spans="1:8" ht="12" customHeight="1">
      <c r="A135" s="82"/>
      <c r="B135" s="4">
        <v>4000</v>
      </c>
      <c r="C135" s="5" t="s">
        <v>130</v>
      </c>
      <c r="D135" s="2" t="s">
        <v>127</v>
      </c>
      <c r="E135" s="6">
        <f t="shared" si="12"/>
        <v>1.0606610676818984</v>
      </c>
      <c r="F135" s="6">
        <f t="shared" si="12"/>
        <v>1.2121840773507415</v>
      </c>
      <c r="G135" s="6">
        <f t="shared" si="12"/>
        <v>7.424627473773287</v>
      </c>
      <c r="H135" s="6">
        <f t="shared" si="12"/>
        <v>8.485288541455187</v>
      </c>
    </row>
    <row r="136" spans="1:8" ht="12" customHeight="1">
      <c r="A136" s="82"/>
      <c r="B136" s="4">
        <v>5000</v>
      </c>
      <c r="C136" s="5" t="s">
        <v>130</v>
      </c>
      <c r="D136" s="2" t="s">
        <v>127</v>
      </c>
      <c r="E136" s="6">
        <f t="shared" si="12"/>
        <v>0.8485288541455186</v>
      </c>
      <c r="F136" s="6">
        <f t="shared" si="12"/>
        <v>0.969747261880593</v>
      </c>
      <c r="G136" s="6">
        <f t="shared" si="12"/>
        <v>5.939701979018631</v>
      </c>
      <c r="H136" s="6">
        <f t="shared" si="12"/>
        <v>6.788230833164149</v>
      </c>
    </row>
    <row r="137" spans="1:8" ht="12" customHeight="1">
      <c r="A137" s="82"/>
      <c r="B137" s="4">
        <v>7000</v>
      </c>
      <c r="C137" s="5" t="s">
        <v>130</v>
      </c>
      <c r="D137" s="2" t="s">
        <v>127</v>
      </c>
      <c r="E137" s="6">
        <f t="shared" si="12"/>
        <v>0.6060920386753704</v>
      </c>
      <c r="F137" s="6">
        <f t="shared" si="12"/>
        <v>0.6926766156289951</v>
      </c>
      <c r="G137" s="6">
        <f t="shared" si="12"/>
        <v>4.2426442707275935</v>
      </c>
      <c r="H137" s="6">
        <f t="shared" si="12"/>
        <v>4.848736309402963</v>
      </c>
    </row>
    <row r="138" spans="1:8" ht="12" customHeight="1">
      <c r="A138" s="82"/>
      <c r="B138" s="4">
        <v>10000</v>
      </c>
      <c r="C138" s="5" t="s">
        <v>130</v>
      </c>
      <c r="D138" s="2" t="s">
        <v>127</v>
      </c>
      <c r="E138" s="6">
        <f t="shared" si="12"/>
        <v>0.4242644270727593</v>
      </c>
      <c r="F138" s="6">
        <f t="shared" si="12"/>
        <v>0.4848736309402965</v>
      </c>
      <c r="G138" s="6">
        <f t="shared" si="12"/>
        <v>2.9698509895093155</v>
      </c>
      <c r="H138" s="6">
        <f t="shared" si="12"/>
        <v>3.3941154165820744</v>
      </c>
    </row>
    <row r="139" spans="1:8" ht="12" customHeight="1">
      <c r="A139" s="82"/>
      <c r="B139" s="4">
        <v>15000</v>
      </c>
      <c r="C139" s="5" t="s">
        <v>130</v>
      </c>
      <c r="D139" s="2" t="s">
        <v>127</v>
      </c>
      <c r="E139" s="6">
        <f t="shared" si="12"/>
        <v>0.2828429513818395</v>
      </c>
      <c r="F139" s="6">
        <f t="shared" si="12"/>
        <v>0.323249087293531</v>
      </c>
      <c r="G139" s="6">
        <f t="shared" si="12"/>
        <v>1.9799006596728768</v>
      </c>
      <c r="H139" s="6">
        <f t="shared" si="12"/>
        <v>2.262743611054716</v>
      </c>
    </row>
    <row r="140" spans="1:8" ht="12" customHeight="1">
      <c r="A140" s="83"/>
      <c r="B140" s="4">
        <v>20000</v>
      </c>
      <c r="C140" s="5" t="s">
        <v>130</v>
      </c>
      <c r="D140" s="2" t="s">
        <v>127</v>
      </c>
      <c r="E140" s="6">
        <f t="shared" si="12"/>
        <v>0.21213221353637965</v>
      </c>
      <c r="F140" s="6">
        <f t="shared" si="12"/>
        <v>0.24243681547014825</v>
      </c>
      <c r="G140" s="6">
        <f t="shared" si="12"/>
        <v>1.4849254947546577</v>
      </c>
      <c r="H140" s="6">
        <f t="shared" si="12"/>
        <v>1.6970577082910372</v>
      </c>
    </row>
    <row r="141" spans="1:13" ht="12" customHeight="1">
      <c r="A141" s="81" t="s">
        <v>120</v>
      </c>
      <c r="B141" s="4">
        <v>20</v>
      </c>
      <c r="C141" s="5" t="s">
        <v>130</v>
      </c>
      <c r="D141" s="67" t="s">
        <v>126</v>
      </c>
      <c r="E141" s="6">
        <f>F141*(F141^2+F163^2)/(F141^2+(F163+(F119-G97)*(F141^2+F163^2))^2)</f>
        <v>2.503031281417659E-07</v>
      </c>
      <c r="F141" s="7">
        <f>1/F$28</f>
        <v>0.16666666666666666</v>
      </c>
      <c r="G141" s="7"/>
      <c r="H141" s="6">
        <f aca="true" t="shared" si="13" ref="H141:H162">(E119^2*E$28/(E97^2*E119^2+E$28^2*(E97-E119)^2))+E141+(H97^2*G$28/(H97^2*H119^2+G$28^2*(H97-H119)^2))</f>
        <v>0.16666649040982828</v>
      </c>
      <c r="J141" s="10"/>
      <c r="K141" s="10"/>
      <c r="L141" s="10"/>
      <c r="M141" s="10"/>
    </row>
    <row r="142" spans="1:8" ht="12" customHeight="1">
      <c r="A142" s="82"/>
      <c r="B142" s="4">
        <v>30</v>
      </c>
      <c r="C142" s="5" t="s">
        <v>130</v>
      </c>
      <c r="D142" s="67" t="s">
        <v>126</v>
      </c>
      <c r="E142" s="6">
        <f aca="true" t="shared" si="14" ref="E142:E162">F142*(F142^2+F164^2)/(F142^2+(F164+(F120-G98)*(F142^2+F164^2))^2)</f>
        <v>1.2684200413720107E-06</v>
      </c>
      <c r="F142" s="7">
        <f aca="true" t="shared" si="15" ref="F142:F162">1/F$28</f>
        <v>0.16666666666666666</v>
      </c>
      <c r="G142" s="7"/>
      <c r="H142" s="6">
        <f t="shared" si="13"/>
        <v>0.16666577564934096</v>
      </c>
    </row>
    <row r="143" spans="1:8" ht="12" customHeight="1">
      <c r="A143" s="82"/>
      <c r="B143" s="4">
        <v>40</v>
      </c>
      <c r="C143" s="5" t="s">
        <v>130</v>
      </c>
      <c r="D143" s="67" t="s">
        <v>126</v>
      </c>
      <c r="E143" s="6">
        <f t="shared" si="14"/>
        <v>4.014387372230032E-06</v>
      </c>
      <c r="F143" s="7">
        <f t="shared" si="15"/>
        <v>0.16666666666666666</v>
      </c>
      <c r="G143" s="7"/>
      <c r="H143" s="6">
        <f t="shared" si="13"/>
        <v>0.16666385635670514</v>
      </c>
    </row>
    <row r="144" spans="1:8" ht="12" customHeight="1">
      <c r="A144" s="82"/>
      <c r="B144" s="4">
        <v>50</v>
      </c>
      <c r="C144" s="5" t="s">
        <v>130</v>
      </c>
      <c r="D144" s="67" t="s">
        <v>126</v>
      </c>
      <c r="E144" s="6">
        <f t="shared" si="14"/>
        <v>9.818083854720866E-06</v>
      </c>
      <c r="F144" s="7">
        <f t="shared" si="15"/>
        <v>0.16666666666666666</v>
      </c>
      <c r="G144" s="7"/>
      <c r="H144" s="6">
        <f t="shared" si="13"/>
        <v>0.16665982387565087</v>
      </c>
    </row>
    <row r="145" spans="1:8" ht="12" customHeight="1">
      <c r="A145" s="82"/>
      <c r="B145" s="4">
        <v>70</v>
      </c>
      <c r="C145" s="5" t="s">
        <v>130</v>
      </c>
      <c r="D145" s="67" t="s">
        <v>126</v>
      </c>
      <c r="E145" s="6">
        <f t="shared" si="14"/>
        <v>3.789258099452069E-05</v>
      </c>
      <c r="F145" s="7">
        <f t="shared" si="15"/>
        <v>0.16666666666666666</v>
      </c>
      <c r="G145" s="7"/>
      <c r="H145" s="6">
        <f t="shared" si="13"/>
        <v>0.16664057301564722</v>
      </c>
    </row>
    <row r="146" spans="1:8" ht="12" customHeight="1">
      <c r="A146" s="82"/>
      <c r="B146" s="4">
        <v>100</v>
      </c>
      <c r="C146" s="5" t="s">
        <v>130</v>
      </c>
      <c r="D146" s="67" t="s">
        <v>126</v>
      </c>
      <c r="E146" s="6">
        <f t="shared" si="14"/>
        <v>0.0001593278770358885</v>
      </c>
      <c r="F146" s="7">
        <f t="shared" si="15"/>
        <v>0.16666666666666666</v>
      </c>
      <c r="G146" s="7"/>
      <c r="H146" s="6">
        <f t="shared" si="13"/>
        <v>0.16655981986414511</v>
      </c>
    </row>
    <row r="147" spans="1:8" ht="12" customHeight="1">
      <c r="A147" s="82"/>
      <c r="B147" s="4">
        <v>150</v>
      </c>
      <c r="C147" s="5" t="s">
        <v>130</v>
      </c>
      <c r="D147" s="67" t="s">
        <v>126</v>
      </c>
      <c r="E147" s="6">
        <f t="shared" si="14"/>
        <v>0.0008238844747947295</v>
      </c>
      <c r="F147" s="7">
        <f t="shared" si="15"/>
        <v>0.16666666666666666</v>
      </c>
      <c r="G147" s="7"/>
      <c r="H147" s="6">
        <f t="shared" si="13"/>
        <v>0.16615173235589684</v>
      </c>
    </row>
    <row r="148" spans="1:8" ht="12" customHeight="1">
      <c r="A148" s="82"/>
      <c r="B148" s="4">
        <v>200</v>
      </c>
      <c r="C148" s="5" t="s">
        <v>130</v>
      </c>
      <c r="D148" s="67" t="s">
        <v>126</v>
      </c>
      <c r="E148" s="6">
        <f t="shared" si="14"/>
        <v>0.0026681259758456937</v>
      </c>
      <c r="F148" s="7">
        <f t="shared" si="15"/>
        <v>0.16666666666666666</v>
      </c>
      <c r="G148" s="7"/>
      <c r="H148" s="6">
        <f t="shared" si="13"/>
        <v>0.16517568159739973</v>
      </c>
    </row>
    <row r="149" spans="1:8" ht="12" customHeight="1">
      <c r="A149" s="82"/>
      <c r="B149" s="4">
        <v>300</v>
      </c>
      <c r="C149" s="5" t="s">
        <v>130</v>
      </c>
      <c r="D149" s="67" t="s">
        <v>126</v>
      </c>
      <c r="E149" s="6">
        <f t="shared" si="14"/>
        <v>0.013948067883294687</v>
      </c>
      <c r="F149" s="7">
        <f t="shared" si="15"/>
        <v>0.16666666666666666</v>
      </c>
      <c r="G149" s="7"/>
      <c r="H149" s="6">
        <f t="shared" si="13"/>
        <v>0.16149825196529685</v>
      </c>
    </row>
    <row r="150" spans="1:8" ht="12" customHeight="1">
      <c r="A150" s="82"/>
      <c r="B150" s="4">
        <v>400</v>
      </c>
      <c r="C150" s="5" t="s">
        <v>130</v>
      </c>
      <c r="D150" s="67" t="s">
        <v>126</v>
      </c>
      <c r="E150" s="6">
        <f t="shared" si="14"/>
        <v>0.041836740535779265</v>
      </c>
      <c r="F150" s="7">
        <f t="shared" si="15"/>
        <v>0.16666666666666666</v>
      </c>
      <c r="G150" s="7"/>
      <c r="H150" s="6">
        <f t="shared" si="13"/>
        <v>0.16009037362257872</v>
      </c>
    </row>
    <row r="151" spans="1:8" ht="12" customHeight="1">
      <c r="A151" s="82"/>
      <c r="B151" s="4">
        <v>500</v>
      </c>
      <c r="C151" s="5" t="s">
        <v>130</v>
      </c>
      <c r="D151" s="67" t="s">
        <v>126</v>
      </c>
      <c r="E151" s="6">
        <f t="shared" si="14"/>
        <v>0.08333315233389599</v>
      </c>
      <c r="F151" s="7">
        <f t="shared" si="15"/>
        <v>0.16666666666666666</v>
      </c>
      <c r="G151" s="7"/>
      <c r="H151" s="6">
        <f t="shared" si="13"/>
        <v>0.166707306479673</v>
      </c>
    </row>
    <row r="152" spans="1:8" ht="12" customHeight="1">
      <c r="A152" s="82"/>
      <c r="B152" s="4">
        <v>700</v>
      </c>
      <c r="C152" s="5" t="s">
        <v>130</v>
      </c>
      <c r="D152" s="67" t="s">
        <v>126</v>
      </c>
      <c r="E152" s="6">
        <f t="shared" si="14"/>
        <v>0.14565031615519802</v>
      </c>
      <c r="F152" s="7">
        <f t="shared" si="15"/>
        <v>0.16666666666666666</v>
      </c>
      <c r="G152" s="7"/>
      <c r="H152" s="6">
        <f t="shared" si="13"/>
        <v>0.18023045845968932</v>
      </c>
    </row>
    <row r="153" spans="1:8" ht="12" customHeight="1">
      <c r="A153" s="82"/>
      <c r="B153" s="4" t="s">
        <v>21</v>
      </c>
      <c r="C153" s="5" t="s">
        <v>130</v>
      </c>
      <c r="D153" s="67" t="s">
        <v>126</v>
      </c>
      <c r="E153" s="6">
        <f t="shared" si="14"/>
        <v>0.16556335946058548</v>
      </c>
      <c r="F153" s="7">
        <f t="shared" si="15"/>
        <v>0.16666666666666666</v>
      </c>
      <c r="G153" s="7"/>
      <c r="H153" s="6">
        <f t="shared" si="13"/>
        <v>0.17601581845292222</v>
      </c>
    </row>
    <row r="154" spans="1:8" ht="12" customHeight="1">
      <c r="A154" s="82"/>
      <c r="B154" s="4" t="s">
        <v>22</v>
      </c>
      <c r="C154" s="5" t="s">
        <v>130</v>
      </c>
      <c r="D154" s="67" t="s">
        <v>126</v>
      </c>
      <c r="E154" s="6">
        <f t="shared" si="14"/>
        <v>0.1666658097385496</v>
      </c>
      <c r="F154" s="7">
        <f t="shared" si="15"/>
        <v>0.16666666666666666</v>
      </c>
      <c r="G154" s="7"/>
      <c r="H154" s="6">
        <f t="shared" si="13"/>
        <v>0.17193031081721044</v>
      </c>
    </row>
    <row r="155" spans="1:8" ht="12" customHeight="1">
      <c r="A155" s="82"/>
      <c r="B155" s="4" t="s">
        <v>23</v>
      </c>
      <c r="C155" s="5" t="s">
        <v>130</v>
      </c>
      <c r="D155" s="67" t="s">
        <v>126</v>
      </c>
      <c r="E155" s="6">
        <f t="shared" si="14"/>
        <v>0.1655633816784816</v>
      </c>
      <c r="F155" s="7">
        <f t="shared" si="15"/>
        <v>0.16666666666666666</v>
      </c>
      <c r="G155" s="7"/>
      <c r="H155" s="6">
        <f t="shared" si="13"/>
        <v>0.17601578268471924</v>
      </c>
    </row>
    <row r="156" spans="1:8" ht="12" customHeight="1">
      <c r="A156" s="82"/>
      <c r="B156" s="4" t="s">
        <v>24</v>
      </c>
      <c r="C156" s="5" t="s">
        <v>130</v>
      </c>
      <c r="D156" s="67" t="s">
        <v>126</v>
      </c>
      <c r="E156" s="6">
        <f t="shared" si="14"/>
        <v>0.13917537961644097</v>
      </c>
      <c r="F156" s="7">
        <f t="shared" si="15"/>
        <v>0.16666666666666666</v>
      </c>
      <c r="G156" s="7"/>
      <c r="H156" s="6">
        <f t="shared" si="13"/>
        <v>0.17936312608652571</v>
      </c>
    </row>
    <row r="157" spans="1:8" ht="12" customHeight="1">
      <c r="A157" s="82"/>
      <c r="B157" s="4" t="s">
        <v>25</v>
      </c>
      <c r="C157" s="5" t="s">
        <v>130</v>
      </c>
      <c r="D157" s="67" t="s">
        <v>126</v>
      </c>
      <c r="E157" s="6">
        <f t="shared" si="14"/>
        <v>0.08333351433284823</v>
      </c>
      <c r="F157" s="7">
        <f t="shared" si="15"/>
        <v>0.16666666666666666</v>
      </c>
      <c r="G157" s="7"/>
      <c r="H157" s="6">
        <f t="shared" si="13"/>
        <v>0.1667073871987062</v>
      </c>
    </row>
    <row r="158" spans="1:8" ht="12" customHeight="1">
      <c r="A158" s="82"/>
      <c r="B158" s="4" t="s">
        <v>26</v>
      </c>
      <c r="C158" s="5" t="s">
        <v>130</v>
      </c>
      <c r="D158" s="67" t="s">
        <v>126</v>
      </c>
      <c r="E158" s="6">
        <f t="shared" si="14"/>
        <v>0.04183698910003573</v>
      </c>
      <c r="F158" s="7">
        <f t="shared" si="15"/>
        <v>0.16666666666666666</v>
      </c>
      <c r="G158" s="7"/>
      <c r="H158" s="6">
        <f t="shared" si="13"/>
        <v>0.16009039013750687</v>
      </c>
    </row>
    <row r="159" spans="1:8" ht="12" customHeight="1">
      <c r="A159" s="82"/>
      <c r="B159" s="4" t="s">
        <v>27</v>
      </c>
      <c r="C159" s="5" t="s">
        <v>130</v>
      </c>
      <c r="D159" s="67" t="s">
        <v>126</v>
      </c>
      <c r="E159" s="6">
        <f t="shared" si="14"/>
        <v>0.011460006194370742</v>
      </c>
      <c r="F159" s="7">
        <f t="shared" si="15"/>
        <v>0.16666666666666666</v>
      </c>
      <c r="G159" s="7"/>
      <c r="H159" s="6">
        <f t="shared" si="13"/>
        <v>0.16207275119011183</v>
      </c>
    </row>
    <row r="160" spans="1:8" ht="12" customHeight="1">
      <c r="A160" s="82"/>
      <c r="B160" s="4" t="s">
        <v>28</v>
      </c>
      <c r="C160" s="5" t="s">
        <v>130</v>
      </c>
      <c r="D160" s="67" t="s">
        <v>126</v>
      </c>
      <c r="E160" s="6">
        <f t="shared" si="14"/>
        <v>0.0026681444407569686</v>
      </c>
      <c r="F160" s="7">
        <f t="shared" si="15"/>
        <v>0.16666666666666666</v>
      </c>
      <c r="G160" s="7"/>
      <c r="H160" s="6">
        <f t="shared" si="13"/>
        <v>0.16517567265949235</v>
      </c>
    </row>
    <row r="161" spans="1:8" ht="12" customHeight="1">
      <c r="A161" s="82"/>
      <c r="B161" s="4" t="s">
        <v>29</v>
      </c>
      <c r="C161" s="5" t="s">
        <v>130</v>
      </c>
      <c r="D161" s="67" t="s">
        <v>126</v>
      </c>
      <c r="E161" s="6">
        <f t="shared" si="14"/>
        <v>0.0005104296608499573</v>
      </c>
      <c r="F161" s="7">
        <f t="shared" si="15"/>
        <v>0.16666666666666666</v>
      </c>
      <c r="G161" s="7"/>
      <c r="H161" s="6">
        <f t="shared" si="13"/>
        <v>0.16633874132793675</v>
      </c>
    </row>
    <row r="162" spans="1:8" ht="12" customHeight="1">
      <c r="A162" s="83"/>
      <c r="B162" s="4" t="s">
        <v>30</v>
      </c>
      <c r="C162" s="5" t="s">
        <v>130</v>
      </c>
      <c r="D162" s="67" t="s">
        <v>126</v>
      </c>
      <c r="E162" s="6">
        <f t="shared" si="14"/>
        <v>0.0001593289634488682</v>
      </c>
      <c r="F162" s="7">
        <f t="shared" si="15"/>
        <v>0.16666666666666666</v>
      </c>
      <c r="G162" s="7"/>
      <c r="H162" s="6">
        <f t="shared" si="13"/>
        <v>0.16655981915480014</v>
      </c>
    </row>
    <row r="163" spans="1:13" ht="12" customHeight="1">
      <c r="A163" s="81" t="s">
        <v>121</v>
      </c>
      <c r="B163" s="4">
        <v>20</v>
      </c>
      <c r="C163" s="5" t="s">
        <v>130</v>
      </c>
      <c r="D163" s="67" t="s">
        <v>126</v>
      </c>
      <c r="E163" s="3">
        <f>(F141^2+F163^2)*(F163+(F119-G97)*(F141^2+F163^2))/(F141^2+(F163+(F119-G97)*(F141^2+F163^2))^2)</f>
        <v>0.0041306608775162484</v>
      </c>
      <c r="F163" s="7">
        <f>(F97-G119)/(F97*G119)</f>
        <v>-3.366504558180072</v>
      </c>
      <c r="G163" s="7"/>
      <c r="H163" s="3">
        <f aca="true" t="shared" si="16" ref="H163:H184">((E119*E$28^2-E97*E$28^2-E97*E119^2)/(E97^2*E119^2+E$28^2*(E97-E119)^2)+E163+(H119*G$28^2-H97*G$28^2+H97^2*H119)/(H97^2*H119^2+G$28^2*(H97-H119)^2))</f>
        <v>-1.64083039661065E-06</v>
      </c>
      <c r="J163" s="11"/>
      <c r="K163" s="11"/>
      <c r="L163" s="11"/>
      <c r="M163" s="11"/>
    </row>
    <row r="164" spans="1:8" ht="12" customHeight="1">
      <c r="A164" s="82"/>
      <c r="B164" s="4">
        <v>30</v>
      </c>
      <c r="C164" s="5" t="s">
        <v>130</v>
      </c>
      <c r="D164" s="67" t="s">
        <v>126</v>
      </c>
      <c r="E164" s="3">
        <f aca="true" t="shared" si="17" ref="E164:E184">(F142^2+F164^2)*(F164+(F120-G98)*(F142^2+F164^2))/(F142^2+(F164+(F120-G98)*(F142^2+F164^2))^2)</f>
        <v>0.0062069937762147444</v>
      </c>
      <c r="F164" s="7">
        <f aca="true" t="shared" si="18" ref="F164:F184">(F98-G120)/(F98*G120)</f>
        <v>-2.243775176735985</v>
      </c>
      <c r="G164" s="7"/>
      <c r="H164" s="3">
        <f t="shared" si="16"/>
        <v>-5.499427805946873E-06</v>
      </c>
    </row>
    <row r="165" spans="1:8" ht="12" customHeight="1">
      <c r="A165" s="82"/>
      <c r="B165" s="4">
        <v>40</v>
      </c>
      <c r="C165" s="5" t="s">
        <v>130</v>
      </c>
      <c r="D165" s="67" t="s">
        <v>126</v>
      </c>
      <c r="E165" s="3">
        <f t="shared" si="17"/>
        <v>0.008296497244586335</v>
      </c>
      <c r="F165" s="7">
        <f t="shared" si="18"/>
        <v>-1.682242127398723</v>
      </c>
      <c r="G165" s="7"/>
      <c r="H165" s="3">
        <f t="shared" si="16"/>
        <v>-1.2908059313862042E-05</v>
      </c>
    </row>
    <row r="166" spans="1:8" ht="12" customHeight="1">
      <c r="A166" s="82"/>
      <c r="B166" s="4">
        <v>50</v>
      </c>
      <c r="C166" s="5" t="s">
        <v>130</v>
      </c>
      <c r="D166" s="67" t="s">
        <v>126</v>
      </c>
      <c r="E166" s="3">
        <f t="shared" si="17"/>
        <v>0.010403506015286086</v>
      </c>
      <c r="F166" s="7">
        <f t="shared" si="18"/>
        <v>-1.3451876109041907</v>
      </c>
      <c r="G166" s="7"/>
      <c r="H166" s="3">
        <f t="shared" si="16"/>
        <v>-2.4889684644363065E-05</v>
      </c>
    </row>
    <row r="167" spans="1:8" ht="12" customHeight="1">
      <c r="A167" s="82"/>
      <c r="B167" s="4">
        <v>70</v>
      </c>
      <c r="C167" s="5" t="s">
        <v>130</v>
      </c>
      <c r="D167" s="67" t="s">
        <v>126</v>
      </c>
      <c r="E167" s="3">
        <f t="shared" si="17"/>
        <v>0.01468710942717092</v>
      </c>
      <c r="F167" s="7">
        <f t="shared" si="18"/>
        <v>-0.9596938344272072</v>
      </c>
      <c r="G167" s="7"/>
      <c r="H167" s="3">
        <f t="shared" si="16"/>
        <v>-6.593305789495641E-05</v>
      </c>
    </row>
    <row r="168" spans="1:8" ht="12" customHeight="1">
      <c r="A168" s="82"/>
      <c r="B168" s="4">
        <v>100</v>
      </c>
      <c r="C168" s="5" t="s">
        <v>130</v>
      </c>
      <c r="D168" s="67" t="s">
        <v>126</v>
      </c>
      <c r="E168" s="3">
        <f t="shared" si="17"/>
        <v>0.021348316631825532</v>
      </c>
      <c r="F168" s="7">
        <f t="shared" si="18"/>
        <v>-0.6700684262238132</v>
      </c>
      <c r="G168" s="7"/>
      <c r="H168" s="3">
        <f t="shared" si="16"/>
        <v>-0.00017742208205852317</v>
      </c>
    </row>
    <row r="169" spans="1:8" ht="12" customHeight="1">
      <c r="A169" s="82"/>
      <c r="B169" s="4">
        <v>150</v>
      </c>
      <c r="C169" s="5" t="s">
        <v>130</v>
      </c>
      <c r="D169" s="67" t="s">
        <v>126</v>
      </c>
      <c r="E169" s="3">
        <f t="shared" si="17"/>
        <v>0.033327583122055006</v>
      </c>
      <c r="F169" s="7">
        <f t="shared" si="18"/>
        <v>-0.4439063072288952</v>
      </c>
      <c r="G169" s="7"/>
      <c r="H169" s="3">
        <f t="shared" si="16"/>
        <v>-0.0004744360102334295</v>
      </c>
    </row>
    <row r="170" spans="1:8" ht="12" customHeight="1">
      <c r="A170" s="82"/>
      <c r="B170" s="4">
        <v>200</v>
      </c>
      <c r="C170" s="5" t="s">
        <v>130</v>
      </c>
      <c r="D170" s="67" t="s">
        <v>126</v>
      </c>
      <c r="E170" s="3">
        <f t="shared" si="17"/>
        <v>0.04669847394685426</v>
      </c>
      <c r="F170" s="7">
        <f t="shared" si="18"/>
        <v>-0.3299834546553423</v>
      </c>
      <c r="G170" s="7"/>
      <c r="H170" s="3">
        <f t="shared" si="16"/>
        <v>-0.0007122111446517271</v>
      </c>
    </row>
    <row r="171" spans="1:8" ht="12" customHeight="1">
      <c r="A171" s="82"/>
      <c r="B171" s="4">
        <v>300</v>
      </c>
      <c r="C171" s="5" t="s">
        <v>130</v>
      </c>
      <c r="D171" s="67" t="s">
        <v>126</v>
      </c>
      <c r="E171" s="3">
        <f t="shared" si="17"/>
        <v>0.0773061431993087</v>
      </c>
      <c r="F171" s="7">
        <f t="shared" si="18"/>
        <v>-0.2143770159296012</v>
      </c>
      <c r="G171" s="7"/>
      <c r="H171" s="3">
        <f t="shared" si="16"/>
        <v>0.0010612318738848787</v>
      </c>
    </row>
    <row r="172" spans="1:8" ht="12" customHeight="1">
      <c r="A172" s="82"/>
      <c r="B172" s="4">
        <v>400</v>
      </c>
      <c r="C172" s="5" t="s">
        <v>130</v>
      </c>
      <c r="D172" s="67" t="s">
        <v>126</v>
      </c>
      <c r="E172" s="3">
        <f t="shared" si="17"/>
        <v>0.10604104385182592</v>
      </c>
      <c r="F172" s="7">
        <f t="shared" si="18"/>
        <v>-0.1548902104145426</v>
      </c>
      <c r="G172" s="7"/>
      <c r="H172" s="3">
        <f t="shared" si="16"/>
        <v>0.008251688049914132</v>
      </c>
    </row>
    <row r="173" spans="1:8" ht="12" customHeight="1">
      <c r="A173" s="82"/>
      <c r="B173" s="4">
        <v>500</v>
      </c>
      <c r="C173" s="5" t="s">
        <v>130</v>
      </c>
      <c r="D173" s="67" t="s">
        <v>126</v>
      </c>
      <c r="E173" s="3">
        <f t="shared" si="17"/>
        <v>0.11785113019754939</v>
      </c>
      <c r="F173" s="7">
        <f t="shared" si="18"/>
        <v>-0.1178512581837569</v>
      </c>
      <c r="G173" s="7"/>
      <c r="H173" s="3">
        <f t="shared" si="16"/>
        <v>0.014957904417167489</v>
      </c>
    </row>
    <row r="174" spans="1:8" ht="12" customHeight="1">
      <c r="A174" s="82"/>
      <c r="B174" s="4">
        <v>700</v>
      </c>
      <c r="C174" s="5" t="s">
        <v>130</v>
      </c>
      <c r="D174" s="67" t="s">
        <v>126</v>
      </c>
      <c r="E174" s="3">
        <f t="shared" si="17"/>
        <v>0.08758762575226853</v>
      </c>
      <c r="F174" s="7">
        <f t="shared" si="18"/>
        <v>-0.0726348793733937</v>
      </c>
      <c r="G174" s="7"/>
      <c r="H174" s="3">
        <f t="shared" si="16"/>
        <v>0.007952576687674733</v>
      </c>
    </row>
    <row r="175" spans="1:8" ht="12" customHeight="1">
      <c r="A175" s="82"/>
      <c r="B175" s="4" t="s">
        <v>21</v>
      </c>
      <c r="C175" s="5" t="s">
        <v>130</v>
      </c>
      <c r="D175" s="67" t="s">
        <v>126</v>
      </c>
      <c r="E175" s="3">
        <f t="shared" si="17"/>
        <v>0.0361794736337614</v>
      </c>
      <c r="F175" s="7">
        <f t="shared" si="18"/>
        <v>-0.03367183680905699</v>
      </c>
      <c r="G175" s="7"/>
      <c r="H175" s="3">
        <f t="shared" si="16"/>
        <v>-0.001962417619771492</v>
      </c>
    </row>
    <row r="176" spans="1:8" ht="12" customHeight="1">
      <c r="A176" s="82"/>
      <c r="B176" s="4" t="s">
        <v>22</v>
      </c>
      <c r="C176" s="5" t="s">
        <v>130</v>
      </c>
      <c r="D176" s="67" t="s">
        <v>126</v>
      </c>
      <c r="E176" s="3">
        <f t="shared" si="17"/>
        <v>-0.005624574059295201</v>
      </c>
      <c r="F176" s="7">
        <f t="shared" si="18"/>
        <v>0.005611877997096968</v>
      </c>
      <c r="G176" s="7"/>
      <c r="H176" s="3">
        <f t="shared" si="16"/>
        <v>0.0006905212811986958</v>
      </c>
    </row>
    <row r="177" spans="1:8" ht="12" customHeight="1">
      <c r="A177" s="82"/>
      <c r="B177" s="4" t="s">
        <v>23</v>
      </c>
      <c r="C177" s="5" t="s">
        <v>130</v>
      </c>
      <c r="D177" s="67" t="s">
        <v>126</v>
      </c>
      <c r="E177" s="3">
        <f t="shared" si="17"/>
        <v>-0.03617926745590315</v>
      </c>
      <c r="F177" s="7">
        <f t="shared" si="18"/>
        <v>0.033671666161114416</v>
      </c>
      <c r="G177" s="7"/>
      <c r="H177" s="3">
        <f t="shared" si="16"/>
        <v>0.0019624293426046685</v>
      </c>
    </row>
    <row r="178" spans="1:8" ht="12" customHeight="1">
      <c r="A178" s="82"/>
      <c r="B178" s="4" t="s">
        <v>24</v>
      </c>
      <c r="C178" s="5" t="s">
        <v>130</v>
      </c>
      <c r="D178" s="67" t="s">
        <v>126</v>
      </c>
      <c r="E178" s="3">
        <f t="shared" si="17"/>
        <v>-0.09476676799938422</v>
      </c>
      <c r="F178" s="7">
        <f t="shared" si="18"/>
        <v>0.07856731584701288</v>
      </c>
      <c r="G178" s="7"/>
      <c r="H178" s="3">
        <f t="shared" si="16"/>
        <v>-0.010026765170188495</v>
      </c>
    </row>
    <row r="179" spans="1:8" ht="12" customHeight="1">
      <c r="A179" s="82"/>
      <c r="B179" s="4" t="s">
        <v>25</v>
      </c>
      <c r="C179" s="5" t="s">
        <v>130</v>
      </c>
      <c r="D179" s="67" t="s">
        <v>126</v>
      </c>
      <c r="E179" s="3">
        <f t="shared" si="17"/>
        <v>-0.11785113019754942</v>
      </c>
      <c r="F179" s="7">
        <f t="shared" si="18"/>
        <v>0.11785100221184304</v>
      </c>
      <c r="G179" s="7"/>
      <c r="H179" s="3">
        <f t="shared" si="16"/>
        <v>-0.014957930438834949</v>
      </c>
    </row>
    <row r="180" spans="1:8" ht="12" customHeight="1">
      <c r="A180" s="82"/>
      <c r="B180" s="4" t="s">
        <v>26</v>
      </c>
      <c r="C180" s="5" t="s">
        <v>130</v>
      </c>
      <c r="D180" s="67" t="s">
        <v>126</v>
      </c>
      <c r="E180" s="3">
        <f t="shared" si="17"/>
        <v>-0.10604119720332933</v>
      </c>
      <c r="F180" s="7">
        <f t="shared" si="18"/>
        <v>0.15488990324824586</v>
      </c>
      <c r="G180" s="7"/>
      <c r="H180" s="3">
        <f t="shared" si="16"/>
        <v>-0.00825174734746581</v>
      </c>
    </row>
    <row r="181" spans="1:8" ht="12" customHeight="1">
      <c r="A181" s="82"/>
      <c r="B181" s="4" t="s">
        <v>27</v>
      </c>
      <c r="C181" s="5" t="s">
        <v>130</v>
      </c>
      <c r="D181" s="67" t="s">
        <v>126</v>
      </c>
      <c r="E181" s="3">
        <f t="shared" si="17"/>
        <v>-0.07275432652367858</v>
      </c>
      <c r="F181" s="7">
        <f t="shared" si="18"/>
        <v>0.2260815527559308</v>
      </c>
      <c r="G181" s="7"/>
      <c r="H181" s="3">
        <f t="shared" si="16"/>
        <v>-0.0004888963492105658</v>
      </c>
    </row>
    <row r="182" spans="1:8" ht="12" customHeight="1">
      <c r="A182" s="82"/>
      <c r="B182" s="4" t="s">
        <v>28</v>
      </c>
      <c r="C182" s="5" t="s">
        <v>130</v>
      </c>
      <c r="D182" s="67" t="s">
        <v>126</v>
      </c>
      <c r="E182" s="3">
        <f t="shared" si="17"/>
        <v>-0.046698569374804204</v>
      </c>
      <c r="F182" s="7">
        <f t="shared" si="18"/>
        <v>0.3299828744523374</v>
      </c>
      <c r="G182" s="7"/>
      <c r="H182" s="3">
        <f t="shared" si="16"/>
        <v>0.0007122116137064857</v>
      </c>
    </row>
    <row r="183" spans="1:8" ht="12" customHeight="1">
      <c r="A183" s="82"/>
      <c r="B183" s="4" t="s">
        <v>29</v>
      </c>
      <c r="C183" s="5" t="s">
        <v>130</v>
      </c>
      <c r="D183" s="67" t="s">
        <v>126</v>
      </c>
      <c r="E183" s="3">
        <f t="shared" si="17"/>
        <v>-0.029193357609864395</v>
      </c>
      <c r="F183" s="7">
        <f t="shared" si="18"/>
        <v>0.5005862749995744</v>
      </c>
      <c r="G183" s="7"/>
      <c r="H183" s="3">
        <f t="shared" si="16"/>
        <v>0.0003663501085315879</v>
      </c>
    </row>
    <row r="184" spans="1:8" ht="12" customHeight="1">
      <c r="A184" s="83"/>
      <c r="B184" s="4" t="s">
        <v>30</v>
      </c>
      <c r="C184" s="5" t="s">
        <v>130</v>
      </c>
      <c r="D184" s="67" t="s">
        <v>126</v>
      </c>
      <c r="E184" s="3">
        <f t="shared" si="17"/>
        <v>-0.021348355105341513</v>
      </c>
      <c r="F184" s="7">
        <f t="shared" si="18"/>
        <v>0.6700672828825978</v>
      </c>
      <c r="G184" s="7"/>
      <c r="H184" s="3">
        <f t="shared" si="16"/>
        <v>0.00017742288256278674</v>
      </c>
    </row>
    <row r="185" spans="1:8" ht="12" customHeight="1">
      <c r="A185" s="81" t="s">
        <v>122</v>
      </c>
      <c r="B185" s="4">
        <v>20</v>
      </c>
      <c r="C185" s="5" t="s">
        <v>130</v>
      </c>
      <c r="D185" s="2" t="s">
        <v>125</v>
      </c>
      <c r="E185" s="7">
        <f>IF($H$17=1,SpeakerCorrection1!E56,0)+IF($H$17=2,SpeakerCorrection2!E56,0)+IF($H$17=3,SpeakerCorrection3!E56,0)+IF($H$17=4,SpeakerCorrection4!E56,0)</f>
        <v>0</v>
      </c>
      <c r="F185" s="7">
        <f>IF($H$17=1,SpeakerCorrection1!F56,0)+IF($H$17=2,SpeakerCorrection2!F56,0)+IF($H$17=3,SpeakerCorrection3!F56,0)+IF($H$17=4,SpeakerCorrection4!F56,0)</f>
        <v>0</v>
      </c>
      <c r="G185" s="7">
        <f>IF($H$17=1,SpeakerCorrection1!G56,0)+IF($H$17=2,SpeakerCorrection2!G56,0)+IF($H$17=3,SpeakerCorrection3!G56,0)+IF($H$17=4,SpeakerCorrection4!G56,0)</f>
        <v>0</v>
      </c>
      <c r="H185" s="7">
        <f>IF($H$17=1,SpeakerCorrection1!H56,0)+IF($H$17=2,SpeakerCorrection2!H56,0)+IF($H$17=3,SpeakerCorrection3!H56,0)+IF($H$17=4,SpeakerCorrection4!H56,0)</f>
        <v>0</v>
      </c>
    </row>
    <row r="186" spans="1:8" ht="12" customHeight="1">
      <c r="A186" s="82"/>
      <c r="B186" s="4">
        <v>30</v>
      </c>
      <c r="C186" s="5" t="s">
        <v>130</v>
      </c>
      <c r="D186" s="2" t="s">
        <v>125</v>
      </c>
      <c r="E186" s="7">
        <f>IF($H$17=1,SpeakerCorrection1!E57,0)+IF($H$17=2,SpeakerCorrection2!E57,0)+IF($H$17=3,SpeakerCorrection3!E57,0)+IF($H$17=4,SpeakerCorrection4!E57,0)</f>
        <v>0</v>
      </c>
      <c r="F186" s="7">
        <f>IF($H$17=1,SpeakerCorrection1!F57,0)+IF($H$17=2,SpeakerCorrection2!F57,0)+IF($H$17=3,SpeakerCorrection3!F57,0)+IF($H$17=4,SpeakerCorrection4!F57,0)</f>
        <v>0</v>
      </c>
      <c r="G186" s="7">
        <f>IF($H$17=1,SpeakerCorrection1!G57,0)+IF($H$17=2,SpeakerCorrection2!G57,0)+IF($H$17=3,SpeakerCorrection3!G57,0)+IF($H$17=4,SpeakerCorrection4!G57,0)</f>
        <v>0</v>
      </c>
      <c r="H186" s="7">
        <f>IF($H$17=1,SpeakerCorrection1!H57,0)+IF($H$17=2,SpeakerCorrection2!H57,0)+IF($H$17=3,SpeakerCorrection3!H57,0)+IF($H$17=4,SpeakerCorrection4!H57,0)</f>
        <v>0</v>
      </c>
    </row>
    <row r="187" spans="1:8" ht="12" customHeight="1">
      <c r="A187" s="82"/>
      <c r="B187" s="4">
        <v>40</v>
      </c>
      <c r="C187" s="5" t="s">
        <v>130</v>
      </c>
      <c r="D187" s="2" t="s">
        <v>125</v>
      </c>
      <c r="E187" s="7">
        <f>IF($H$17=1,SpeakerCorrection1!E58,0)+IF($H$17=2,SpeakerCorrection2!E58,0)+IF($H$17=3,SpeakerCorrection3!E58,0)+IF($H$17=4,SpeakerCorrection4!E58,0)</f>
        <v>0</v>
      </c>
      <c r="F187" s="7">
        <f>IF($H$17=1,SpeakerCorrection1!F58,0)+IF($H$17=2,SpeakerCorrection2!F58,0)+IF($H$17=3,SpeakerCorrection3!F58,0)+IF($H$17=4,SpeakerCorrection4!F58,0)</f>
        <v>0</v>
      </c>
      <c r="G187" s="7">
        <f>IF($H$17=1,SpeakerCorrection1!G58,0)+IF($H$17=2,SpeakerCorrection2!G58,0)+IF($H$17=3,SpeakerCorrection3!G58,0)+IF($H$17=4,SpeakerCorrection4!G58,0)</f>
        <v>0</v>
      </c>
      <c r="H187" s="7">
        <f>IF($H$17=1,SpeakerCorrection1!H58,0)+IF($H$17=2,SpeakerCorrection2!H58,0)+IF($H$17=3,SpeakerCorrection3!H58,0)+IF($H$17=4,SpeakerCorrection4!H58,0)</f>
        <v>0</v>
      </c>
    </row>
    <row r="188" spans="1:8" ht="12" customHeight="1">
      <c r="A188" s="82"/>
      <c r="B188" s="4">
        <v>50</v>
      </c>
      <c r="C188" s="5" t="s">
        <v>130</v>
      </c>
      <c r="D188" s="2" t="s">
        <v>125</v>
      </c>
      <c r="E188" s="7">
        <f>IF($H$17=1,SpeakerCorrection1!E59,0)+IF($H$17=2,SpeakerCorrection2!E59,0)+IF($H$17=3,SpeakerCorrection3!E59,0)+IF($H$17=4,SpeakerCorrection4!E59,0)</f>
        <v>0</v>
      </c>
      <c r="F188" s="7">
        <f>IF($H$17=1,SpeakerCorrection1!F59,0)+IF($H$17=2,SpeakerCorrection2!F59,0)+IF($H$17=3,SpeakerCorrection3!F59,0)+IF($H$17=4,SpeakerCorrection4!F59,0)</f>
        <v>0</v>
      </c>
      <c r="G188" s="7">
        <f>IF($H$17=1,SpeakerCorrection1!G59,0)+IF($H$17=2,SpeakerCorrection2!G59,0)+IF($H$17=3,SpeakerCorrection3!G59,0)+IF($H$17=4,SpeakerCorrection4!G59,0)</f>
        <v>0</v>
      </c>
      <c r="H188" s="7">
        <f>IF($H$17=1,SpeakerCorrection1!H59,0)+IF($H$17=2,SpeakerCorrection2!H59,0)+IF($H$17=3,SpeakerCorrection3!H59,0)+IF($H$17=4,SpeakerCorrection4!H59,0)</f>
        <v>0</v>
      </c>
    </row>
    <row r="189" spans="1:8" ht="12" customHeight="1">
      <c r="A189" s="82"/>
      <c r="B189" s="4">
        <v>70</v>
      </c>
      <c r="C189" s="5" t="s">
        <v>130</v>
      </c>
      <c r="D189" s="2" t="s">
        <v>125</v>
      </c>
      <c r="E189" s="7">
        <f>IF($H$17=1,SpeakerCorrection1!E60,0)+IF($H$17=2,SpeakerCorrection2!E60,0)+IF($H$17=3,SpeakerCorrection3!E60,0)+IF($H$17=4,SpeakerCorrection4!E60,0)</f>
        <v>0</v>
      </c>
      <c r="F189" s="7">
        <f>IF($H$17=1,SpeakerCorrection1!F60,0)+IF($H$17=2,SpeakerCorrection2!F60,0)+IF($H$17=3,SpeakerCorrection3!F60,0)+IF($H$17=4,SpeakerCorrection4!F60,0)</f>
        <v>0</v>
      </c>
      <c r="G189" s="7">
        <f>IF($H$17=1,SpeakerCorrection1!G60,0)+IF($H$17=2,SpeakerCorrection2!G60,0)+IF($H$17=3,SpeakerCorrection3!G60,0)+IF($H$17=4,SpeakerCorrection4!G60,0)</f>
        <v>0</v>
      </c>
      <c r="H189" s="7">
        <f>IF($H$17=1,SpeakerCorrection1!H60,0)+IF($H$17=2,SpeakerCorrection2!H60,0)+IF($H$17=3,SpeakerCorrection3!H60,0)+IF($H$17=4,SpeakerCorrection4!H60,0)</f>
        <v>0</v>
      </c>
    </row>
    <row r="190" spans="1:8" ht="12" customHeight="1">
      <c r="A190" s="82"/>
      <c r="B190" s="4">
        <v>100</v>
      </c>
      <c r="C190" s="5" t="s">
        <v>130</v>
      </c>
      <c r="D190" s="2" t="s">
        <v>125</v>
      </c>
      <c r="E190" s="7">
        <f>IF($H$17=1,SpeakerCorrection1!E61,0)+IF($H$17=2,SpeakerCorrection2!E61,0)+IF($H$17=3,SpeakerCorrection3!E61,0)+IF($H$17=4,SpeakerCorrection4!E61,0)</f>
        <v>0</v>
      </c>
      <c r="F190" s="7">
        <f>IF($H$17=1,SpeakerCorrection1!F61,0)+IF($H$17=2,SpeakerCorrection2!F61,0)+IF($H$17=3,SpeakerCorrection3!F61,0)+IF($H$17=4,SpeakerCorrection4!F61,0)</f>
        <v>0</v>
      </c>
      <c r="G190" s="7">
        <f>IF($H$17=1,SpeakerCorrection1!G61,0)+IF($H$17=2,SpeakerCorrection2!G61,0)+IF($H$17=3,SpeakerCorrection3!G61,0)+IF($H$17=4,SpeakerCorrection4!G61,0)</f>
        <v>0</v>
      </c>
      <c r="H190" s="7">
        <f>IF($H$17=1,SpeakerCorrection1!H61,0)+IF($H$17=2,SpeakerCorrection2!H61,0)+IF($H$17=3,SpeakerCorrection3!H61,0)+IF($H$17=4,SpeakerCorrection4!H61,0)</f>
        <v>0</v>
      </c>
    </row>
    <row r="191" spans="1:8" ht="12" customHeight="1">
      <c r="A191" s="82"/>
      <c r="B191" s="4">
        <v>150</v>
      </c>
      <c r="C191" s="5" t="s">
        <v>130</v>
      </c>
      <c r="D191" s="2" t="s">
        <v>125</v>
      </c>
      <c r="E191" s="7">
        <f>IF($H$17=1,SpeakerCorrection1!E62,0)+IF($H$17=2,SpeakerCorrection2!E62,0)+IF($H$17=3,SpeakerCorrection3!E62,0)+IF($H$17=4,SpeakerCorrection4!E62,0)</f>
        <v>0</v>
      </c>
      <c r="F191" s="7">
        <f>IF($H$17=1,SpeakerCorrection1!F62,0)+IF($H$17=2,SpeakerCorrection2!F62,0)+IF($H$17=3,SpeakerCorrection3!F62,0)+IF($H$17=4,SpeakerCorrection4!F62,0)</f>
        <v>0</v>
      </c>
      <c r="G191" s="7">
        <f>IF($H$17=1,SpeakerCorrection1!G62,0)+IF($H$17=2,SpeakerCorrection2!G62,0)+IF($H$17=3,SpeakerCorrection3!G62,0)+IF($H$17=4,SpeakerCorrection4!G62,0)</f>
        <v>0</v>
      </c>
      <c r="H191" s="7">
        <f>IF($H$17=1,SpeakerCorrection1!H62,0)+IF($H$17=2,SpeakerCorrection2!H62,0)+IF($H$17=3,SpeakerCorrection3!H62,0)+IF($H$17=4,SpeakerCorrection4!H62,0)</f>
        <v>0</v>
      </c>
    </row>
    <row r="192" spans="1:8" ht="12" customHeight="1">
      <c r="A192" s="82"/>
      <c r="B192" s="4">
        <v>200</v>
      </c>
      <c r="C192" s="5" t="s">
        <v>130</v>
      </c>
      <c r="D192" s="2" t="s">
        <v>125</v>
      </c>
      <c r="E192" s="7">
        <f>IF($H$17=1,SpeakerCorrection1!E63,0)+IF($H$17=2,SpeakerCorrection2!E63,0)+IF($H$17=3,SpeakerCorrection3!E63,0)+IF($H$17=4,SpeakerCorrection4!E63,0)</f>
        <v>0</v>
      </c>
      <c r="F192" s="7">
        <f>IF($H$17=1,SpeakerCorrection1!F63,0)+IF($H$17=2,SpeakerCorrection2!F63,0)+IF($H$17=3,SpeakerCorrection3!F63,0)+IF($H$17=4,SpeakerCorrection4!F63,0)</f>
        <v>0</v>
      </c>
      <c r="G192" s="7">
        <f>IF($H$17=1,SpeakerCorrection1!G63,0)+IF($H$17=2,SpeakerCorrection2!G63,0)+IF($H$17=3,SpeakerCorrection3!G63,0)+IF($H$17=4,SpeakerCorrection4!G63,0)</f>
        <v>0</v>
      </c>
      <c r="H192" s="7">
        <f>IF($H$17=1,SpeakerCorrection1!H63,0)+IF($H$17=2,SpeakerCorrection2!H63,0)+IF($H$17=3,SpeakerCorrection3!H63,0)+IF($H$17=4,SpeakerCorrection4!H63,0)</f>
        <v>0</v>
      </c>
    </row>
    <row r="193" spans="1:8" ht="12" customHeight="1">
      <c r="A193" s="82"/>
      <c r="B193" s="4">
        <v>300</v>
      </c>
      <c r="C193" s="5" t="s">
        <v>130</v>
      </c>
      <c r="D193" s="2" t="s">
        <v>125</v>
      </c>
      <c r="E193" s="7">
        <f>IF($H$17=1,SpeakerCorrection1!E64,0)+IF($H$17=2,SpeakerCorrection2!E64,0)+IF($H$17=3,SpeakerCorrection3!E64,0)+IF($H$17=4,SpeakerCorrection4!E64,0)</f>
        <v>0</v>
      </c>
      <c r="F193" s="7">
        <f>IF($H$17=1,SpeakerCorrection1!F64,0)+IF($H$17=2,SpeakerCorrection2!F64,0)+IF($H$17=3,SpeakerCorrection3!F64,0)+IF($H$17=4,SpeakerCorrection4!F64,0)</f>
        <v>0</v>
      </c>
      <c r="G193" s="7">
        <f>IF($H$17=1,SpeakerCorrection1!G64,0)+IF($H$17=2,SpeakerCorrection2!G64,0)+IF($H$17=3,SpeakerCorrection3!G64,0)+IF($H$17=4,SpeakerCorrection4!G64,0)</f>
        <v>0</v>
      </c>
      <c r="H193" s="7">
        <f>IF($H$17=1,SpeakerCorrection1!H64,0)+IF($H$17=2,SpeakerCorrection2!H64,0)+IF($H$17=3,SpeakerCorrection3!H64,0)+IF($H$17=4,SpeakerCorrection4!H64,0)</f>
        <v>0</v>
      </c>
    </row>
    <row r="194" spans="1:8" ht="12" customHeight="1">
      <c r="A194" s="82"/>
      <c r="B194" s="4">
        <v>400</v>
      </c>
      <c r="C194" s="5" t="s">
        <v>130</v>
      </c>
      <c r="D194" s="2" t="s">
        <v>125</v>
      </c>
      <c r="E194" s="7">
        <f>IF($H$17=1,SpeakerCorrection1!E65,0)+IF($H$17=2,SpeakerCorrection2!E65,0)+IF($H$17=3,SpeakerCorrection3!E65,0)+IF($H$17=4,SpeakerCorrection4!E65,0)</f>
        <v>0</v>
      </c>
      <c r="F194" s="7">
        <f>IF($H$17=1,SpeakerCorrection1!F65,0)+IF($H$17=2,SpeakerCorrection2!F65,0)+IF($H$17=3,SpeakerCorrection3!F65,0)+IF($H$17=4,SpeakerCorrection4!F65,0)</f>
        <v>0</v>
      </c>
      <c r="G194" s="7">
        <f>IF($H$17=1,SpeakerCorrection1!G65,0)+IF($H$17=2,SpeakerCorrection2!G65,0)+IF($H$17=3,SpeakerCorrection3!G65,0)+IF($H$17=4,SpeakerCorrection4!G65,0)</f>
        <v>0</v>
      </c>
      <c r="H194" s="7">
        <f>IF($H$17=1,SpeakerCorrection1!H65,0)+IF($H$17=2,SpeakerCorrection2!H65,0)+IF($H$17=3,SpeakerCorrection3!H65,0)+IF($H$17=4,SpeakerCorrection4!H65,0)</f>
        <v>0</v>
      </c>
    </row>
    <row r="195" spans="1:8" ht="12" customHeight="1">
      <c r="A195" s="82"/>
      <c r="B195" s="4">
        <v>500</v>
      </c>
      <c r="C195" s="5" t="s">
        <v>130</v>
      </c>
      <c r="D195" s="2" t="s">
        <v>125</v>
      </c>
      <c r="E195" s="7">
        <f>IF($H$17=1,SpeakerCorrection1!E66,0)+IF($H$17=2,SpeakerCorrection2!E66,0)+IF($H$17=3,SpeakerCorrection3!E66,0)+IF($H$17=4,SpeakerCorrection4!E66,0)</f>
        <v>0</v>
      </c>
      <c r="F195" s="7">
        <f>IF($H$17=1,SpeakerCorrection1!F66,0)+IF($H$17=2,SpeakerCorrection2!F66,0)+IF($H$17=3,SpeakerCorrection3!F66,0)+IF($H$17=4,SpeakerCorrection4!F66,0)</f>
        <v>0</v>
      </c>
      <c r="G195" s="7">
        <f>IF($H$17=1,SpeakerCorrection1!G66,0)+IF($H$17=2,SpeakerCorrection2!G66,0)+IF($H$17=3,SpeakerCorrection3!G66,0)+IF($H$17=4,SpeakerCorrection4!G66,0)</f>
        <v>0</v>
      </c>
      <c r="H195" s="7">
        <f>IF($H$17=1,SpeakerCorrection1!H66,0)+IF($H$17=2,SpeakerCorrection2!H66,0)+IF($H$17=3,SpeakerCorrection3!H66,0)+IF($H$17=4,SpeakerCorrection4!H66,0)</f>
        <v>0</v>
      </c>
    </row>
    <row r="196" spans="1:8" ht="12" customHeight="1">
      <c r="A196" s="82"/>
      <c r="B196" s="4">
        <v>700</v>
      </c>
      <c r="C196" s="5" t="s">
        <v>130</v>
      </c>
      <c r="D196" s="2" t="s">
        <v>125</v>
      </c>
      <c r="E196" s="7">
        <f>IF($H$17=1,SpeakerCorrection1!E67,0)+IF($H$17=2,SpeakerCorrection2!E67,0)+IF($H$17=3,SpeakerCorrection3!E67,0)+IF($H$17=4,SpeakerCorrection4!E67,0)</f>
        <v>0</v>
      </c>
      <c r="F196" s="7">
        <f>IF($H$17=1,SpeakerCorrection1!F67,0)+IF($H$17=2,SpeakerCorrection2!F67,0)+IF($H$17=3,SpeakerCorrection3!F67,0)+IF($H$17=4,SpeakerCorrection4!F67,0)</f>
        <v>0</v>
      </c>
      <c r="G196" s="7">
        <f>IF($H$17=1,SpeakerCorrection1!G67,0)+IF($H$17=2,SpeakerCorrection2!G67,0)+IF($H$17=3,SpeakerCorrection3!G67,0)+IF($H$17=4,SpeakerCorrection4!G67,0)</f>
        <v>0</v>
      </c>
      <c r="H196" s="7">
        <f>IF($H$17=1,SpeakerCorrection1!H67,0)+IF($H$17=2,SpeakerCorrection2!H67,0)+IF($H$17=3,SpeakerCorrection3!H67,0)+IF($H$17=4,SpeakerCorrection4!H67,0)</f>
        <v>0</v>
      </c>
    </row>
    <row r="197" spans="1:8" ht="12" customHeight="1">
      <c r="A197" s="82"/>
      <c r="B197" s="4" t="s">
        <v>43</v>
      </c>
      <c r="C197" s="5" t="s">
        <v>130</v>
      </c>
      <c r="D197" s="2" t="s">
        <v>125</v>
      </c>
      <c r="E197" s="7">
        <f>IF($H$17=1,SpeakerCorrection1!E68,0)+IF($H$17=2,SpeakerCorrection2!E68,0)+IF($H$17=3,SpeakerCorrection3!E68,0)+IF($H$17=4,SpeakerCorrection4!E68,0)</f>
        <v>0</v>
      </c>
      <c r="F197" s="7">
        <f>IF($H$17=1,SpeakerCorrection1!F68,0)+IF($H$17=2,SpeakerCorrection2!F68,0)+IF($H$17=3,SpeakerCorrection3!F68,0)+IF($H$17=4,SpeakerCorrection4!F68,0)</f>
        <v>0</v>
      </c>
      <c r="G197" s="7">
        <f>IF($H$17=1,SpeakerCorrection1!G68,0)+IF($H$17=2,SpeakerCorrection2!G68,0)+IF($H$17=3,SpeakerCorrection3!G68,0)+IF($H$17=4,SpeakerCorrection4!G68,0)</f>
        <v>0</v>
      </c>
      <c r="H197" s="7">
        <f>IF($H$17=1,SpeakerCorrection1!H68,0)+IF($H$17=2,SpeakerCorrection2!H68,0)+IF($H$17=3,SpeakerCorrection3!H68,0)+IF($H$17=4,SpeakerCorrection4!H68,0)</f>
        <v>0</v>
      </c>
    </row>
    <row r="198" spans="1:8" ht="12" customHeight="1">
      <c r="A198" s="82"/>
      <c r="B198" s="4" t="s">
        <v>44</v>
      </c>
      <c r="C198" s="5" t="s">
        <v>130</v>
      </c>
      <c r="D198" s="2" t="s">
        <v>125</v>
      </c>
      <c r="E198" s="7">
        <f>IF($H$17=1,SpeakerCorrection1!E69,0)+IF($H$17=2,SpeakerCorrection2!E69,0)+IF($H$17=3,SpeakerCorrection3!E69,0)+IF($H$17=4,SpeakerCorrection4!E69,0)</f>
        <v>0</v>
      </c>
      <c r="F198" s="7">
        <f>IF($H$17=1,SpeakerCorrection1!F69,0)+IF($H$17=2,SpeakerCorrection2!F69,0)+IF($H$17=3,SpeakerCorrection3!F69,0)+IF($H$17=4,SpeakerCorrection4!F69,0)</f>
        <v>0</v>
      </c>
      <c r="G198" s="7">
        <f>IF($H$17=1,SpeakerCorrection1!G69,0)+IF($H$17=2,SpeakerCorrection2!G69,0)+IF($H$17=3,SpeakerCorrection3!G69,0)+IF($H$17=4,SpeakerCorrection4!G69,0)</f>
        <v>0</v>
      </c>
      <c r="H198" s="7">
        <f>IF($H$17=1,SpeakerCorrection1!H69,0)+IF($H$17=2,SpeakerCorrection2!H69,0)+IF($H$17=3,SpeakerCorrection3!H69,0)+IF($H$17=4,SpeakerCorrection4!H69,0)</f>
        <v>0</v>
      </c>
    </row>
    <row r="199" spans="1:8" ht="12" customHeight="1">
      <c r="A199" s="82"/>
      <c r="B199" s="4" t="s">
        <v>45</v>
      </c>
      <c r="C199" s="5" t="s">
        <v>130</v>
      </c>
      <c r="D199" s="2" t="s">
        <v>125</v>
      </c>
      <c r="E199" s="7">
        <f>IF($H$17=1,SpeakerCorrection1!E70,0)+IF($H$17=2,SpeakerCorrection2!E70,0)+IF($H$17=3,SpeakerCorrection3!E70,0)+IF($H$17=4,SpeakerCorrection4!E70,0)</f>
        <v>0</v>
      </c>
      <c r="F199" s="7">
        <f>IF($H$17=1,SpeakerCorrection1!F70,0)+IF($H$17=2,SpeakerCorrection2!F70,0)+IF($H$17=3,SpeakerCorrection3!F70,0)+IF($H$17=4,SpeakerCorrection4!F70,0)</f>
        <v>0</v>
      </c>
      <c r="G199" s="7">
        <f>IF($H$17=1,SpeakerCorrection1!G70,0)+IF($H$17=2,SpeakerCorrection2!G70,0)+IF($H$17=3,SpeakerCorrection3!G70,0)+IF($H$17=4,SpeakerCorrection4!G70,0)</f>
        <v>0</v>
      </c>
      <c r="H199" s="7">
        <f>IF($H$17=1,SpeakerCorrection1!H70,0)+IF($H$17=2,SpeakerCorrection2!H70,0)+IF($H$17=3,SpeakerCorrection3!H70,0)+IF($H$17=4,SpeakerCorrection4!H70,0)</f>
        <v>0</v>
      </c>
    </row>
    <row r="200" spans="1:8" ht="12" customHeight="1">
      <c r="A200" s="82"/>
      <c r="B200" s="4" t="s">
        <v>46</v>
      </c>
      <c r="C200" s="5" t="s">
        <v>130</v>
      </c>
      <c r="D200" s="2" t="s">
        <v>125</v>
      </c>
      <c r="E200" s="7">
        <f>IF($H$17=1,SpeakerCorrection1!E71,0)+IF($H$17=2,SpeakerCorrection2!E71,0)+IF($H$17=3,SpeakerCorrection3!E71,0)+IF($H$17=4,SpeakerCorrection4!E71,0)</f>
        <v>0</v>
      </c>
      <c r="F200" s="7">
        <f>IF($H$17=1,SpeakerCorrection1!F71,0)+IF($H$17=2,SpeakerCorrection2!F71,0)+IF($H$17=3,SpeakerCorrection3!F71,0)+IF($H$17=4,SpeakerCorrection4!F71,0)</f>
        <v>0</v>
      </c>
      <c r="G200" s="7">
        <f>IF($H$17=1,SpeakerCorrection1!G71,0)+IF($H$17=2,SpeakerCorrection2!G71,0)+IF($H$17=3,SpeakerCorrection3!G71,0)+IF($H$17=4,SpeakerCorrection4!G71,0)</f>
        <v>0</v>
      </c>
      <c r="H200" s="7">
        <f>IF($H$17=1,SpeakerCorrection1!H71,0)+IF($H$17=2,SpeakerCorrection2!H71,0)+IF($H$17=3,SpeakerCorrection3!H71,0)+IF($H$17=4,SpeakerCorrection4!H71,0)</f>
        <v>0</v>
      </c>
    </row>
    <row r="201" spans="1:8" ht="12" customHeight="1">
      <c r="A201" s="82"/>
      <c r="B201" s="4" t="s">
        <v>47</v>
      </c>
      <c r="C201" s="5" t="s">
        <v>130</v>
      </c>
      <c r="D201" s="2" t="s">
        <v>125</v>
      </c>
      <c r="E201" s="7">
        <f>IF($H$17=1,SpeakerCorrection1!E72,0)+IF($H$17=2,SpeakerCorrection2!E72,0)+IF($H$17=3,SpeakerCorrection3!E72,0)+IF($H$17=4,SpeakerCorrection4!E72,0)</f>
        <v>0</v>
      </c>
      <c r="F201" s="7">
        <f>IF($H$17=1,SpeakerCorrection1!F72,0)+IF($H$17=2,SpeakerCorrection2!F72,0)+IF($H$17=3,SpeakerCorrection3!F72,0)+IF($H$17=4,SpeakerCorrection4!F72,0)</f>
        <v>0</v>
      </c>
      <c r="G201" s="7">
        <f>IF($H$17=1,SpeakerCorrection1!G72,0)+IF($H$17=2,SpeakerCorrection2!G72,0)+IF($H$17=3,SpeakerCorrection3!G72,0)+IF($H$17=4,SpeakerCorrection4!G72,0)</f>
        <v>0</v>
      </c>
      <c r="H201" s="7">
        <f>IF($H$17=1,SpeakerCorrection1!H72,0)+IF($H$17=2,SpeakerCorrection2!H72,0)+IF($H$17=3,SpeakerCorrection3!H72,0)+IF($H$17=4,SpeakerCorrection4!H72,0)</f>
        <v>0</v>
      </c>
    </row>
    <row r="202" spans="1:8" ht="12" customHeight="1">
      <c r="A202" s="82"/>
      <c r="B202" s="4" t="s">
        <v>48</v>
      </c>
      <c r="C202" s="5" t="s">
        <v>130</v>
      </c>
      <c r="D202" s="2" t="s">
        <v>125</v>
      </c>
      <c r="E202" s="7">
        <f>IF($H$17=1,SpeakerCorrection1!E73,0)+IF($H$17=2,SpeakerCorrection2!E73,0)+IF($H$17=3,SpeakerCorrection3!E73,0)+IF($H$17=4,SpeakerCorrection4!E73,0)</f>
        <v>0</v>
      </c>
      <c r="F202" s="7">
        <f>IF($H$17=1,SpeakerCorrection1!F73,0)+IF($H$17=2,SpeakerCorrection2!F73,0)+IF($H$17=3,SpeakerCorrection3!F73,0)+IF($H$17=4,SpeakerCorrection4!F73,0)</f>
        <v>0</v>
      </c>
      <c r="G202" s="7">
        <f>IF($H$17=1,SpeakerCorrection1!G73,0)+IF($H$17=2,SpeakerCorrection2!G73,0)+IF($H$17=3,SpeakerCorrection3!G73,0)+IF($H$17=4,SpeakerCorrection4!G73,0)</f>
        <v>0</v>
      </c>
      <c r="H202" s="7">
        <f>IF($H$17=1,SpeakerCorrection1!H73,0)+IF($H$17=2,SpeakerCorrection2!H73,0)+IF($H$17=3,SpeakerCorrection3!H73,0)+IF($H$17=4,SpeakerCorrection4!H73,0)</f>
        <v>0</v>
      </c>
    </row>
    <row r="203" spans="1:8" ht="12" customHeight="1">
      <c r="A203" s="82"/>
      <c r="B203" s="4" t="s">
        <v>49</v>
      </c>
      <c r="C203" s="5" t="s">
        <v>130</v>
      </c>
      <c r="D203" s="2" t="s">
        <v>125</v>
      </c>
      <c r="E203" s="7">
        <f>IF($H$17=1,SpeakerCorrection1!E74,0)+IF($H$17=2,SpeakerCorrection2!E74,0)+IF($H$17=3,SpeakerCorrection3!E74,0)+IF($H$17=4,SpeakerCorrection4!E74,0)</f>
        <v>0</v>
      </c>
      <c r="F203" s="7">
        <f>IF($H$17=1,SpeakerCorrection1!F74,0)+IF($H$17=2,SpeakerCorrection2!F74,0)+IF($H$17=3,SpeakerCorrection3!F74,0)+IF($H$17=4,SpeakerCorrection4!F74,0)</f>
        <v>0</v>
      </c>
      <c r="G203" s="7">
        <f>IF($H$17=1,SpeakerCorrection1!G74,0)+IF($H$17=2,SpeakerCorrection2!G74,0)+IF($H$17=3,SpeakerCorrection3!G74,0)+IF($H$17=4,SpeakerCorrection4!G74,0)</f>
        <v>0</v>
      </c>
      <c r="H203" s="7">
        <f>IF($H$17=1,SpeakerCorrection1!H74,0)+IF($H$17=2,SpeakerCorrection2!H74,0)+IF($H$17=3,SpeakerCorrection3!H74,0)+IF($H$17=4,SpeakerCorrection4!H74,0)</f>
        <v>0</v>
      </c>
    </row>
    <row r="204" spans="1:8" ht="12" customHeight="1">
      <c r="A204" s="82"/>
      <c r="B204" s="4" t="s">
        <v>50</v>
      </c>
      <c r="C204" s="5" t="s">
        <v>130</v>
      </c>
      <c r="D204" s="2" t="s">
        <v>125</v>
      </c>
      <c r="E204" s="7">
        <f>IF($H$17=1,SpeakerCorrection1!E75,0)+IF($H$17=2,SpeakerCorrection2!E75,0)+IF($H$17=3,SpeakerCorrection3!E75,0)+IF($H$17=4,SpeakerCorrection4!E75,0)</f>
        <v>0</v>
      </c>
      <c r="F204" s="7">
        <f>IF($H$17=1,SpeakerCorrection1!F75,0)+IF($H$17=2,SpeakerCorrection2!F75,0)+IF($H$17=3,SpeakerCorrection3!F75,0)+IF($H$17=4,SpeakerCorrection4!F75,0)</f>
        <v>0</v>
      </c>
      <c r="G204" s="7">
        <f>IF($H$17=1,SpeakerCorrection1!G75,0)+IF($H$17=2,SpeakerCorrection2!G75,0)+IF($H$17=3,SpeakerCorrection3!G75,0)+IF($H$17=4,SpeakerCorrection4!G75,0)</f>
        <v>0</v>
      </c>
      <c r="H204" s="7">
        <f>IF($H$17=1,SpeakerCorrection1!H75,0)+IF($H$17=2,SpeakerCorrection2!H75,0)+IF($H$17=3,SpeakerCorrection3!H75,0)+IF($H$17=4,SpeakerCorrection4!H75,0)</f>
        <v>0</v>
      </c>
    </row>
    <row r="205" spans="1:8" ht="12" customHeight="1">
      <c r="A205" s="82"/>
      <c r="B205" s="4" t="s">
        <v>51</v>
      </c>
      <c r="C205" s="5" t="s">
        <v>130</v>
      </c>
      <c r="D205" s="2" t="s">
        <v>125</v>
      </c>
      <c r="E205" s="7">
        <f>IF($H$17=1,SpeakerCorrection1!E76,0)+IF($H$17=2,SpeakerCorrection2!E76,0)+IF($H$17=3,SpeakerCorrection3!E76,0)+IF($H$17=4,SpeakerCorrection4!E76,0)</f>
        <v>0</v>
      </c>
      <c r="F205" s="7">
        <f>IF($H$17=1,SpeakerCorrection1!F76,0)+IF($H$17=2,SpeakerCorrection2!F76,0)+IF($H$17=3,SpeakerCorrection3!F76,0)+IF($H$17=4,SpeakerCorrection4!F76,0)</f>
        <v>0</v>
      </c>
      <c r="G205" s="7">
        <f>IF($H$17=1,SpeakerCorrection1!G76,0)+IF($H$17=2,SpeakerCorrection2!G76,0)+IF($H$17=3,SpeakerCorrection3!G76,0)+IF($H$17=4,SpeakerCorrection4!G76,0)</f>
        <v>0</v>
      </c>
      <c r="H205" s="7">
        <f>IF($H$17=1,SpeakerCorrection1!H76,0)+IF($H$17=2,SpeakerCorrection2!H76,0)+IF($H$17=3,SpeakerCorrection3!H76,0)+IF($H$17=4,SpeakerCorrection4!H76,0)</f>
        <v>0</v>
      </c>
    </row>
    <row r="206" spans="1:8" ht="12" customHeight="1">
      <c r="A206" s="83"/>
      <c r="B206" s="4" t="s">
        <v>52</v>
      </c>
      <c r="C206" s="5" t="s">
        <v>130</v>
      </c>
      <c r="D206" s="2" t="s">
        <v>125</v>
      </c>
      <c r="E206" s="7">
        <f>IF($H$17=1,SpeakerCorrection1!E77,0)+IF($H$17=2,SpeakerCorrection2!E77,0)+IF($H$17=3,SpeakerCorrection3!E77,0)+IF($H$17=4,SpeakerCorrection4!E77,0)</f>
        <v>0</v>
      </c>
      <c r="F206" s="7">
        <f>IF($H$17=1,SpeakerCorrection1!F77,0)+IF($H$17=2,SpeakerCorrection2!F77,0)+IF($H$17=3,SpeakerCorrection3!F77,0)+IF($H$17=4,SpeakerCorrection4!F77,0)</f>
        <v>0</v>
      </c>
      <c r="G206" s="7">
        <f>IF($H$17=1,SpeakerCorrection1!G77,0)+IF($H$17=2,SpeakerCorrection2!G77,0)+IF($H$17=3,SpeakerCorrection3!G77,0)+IF($H$17=4,SpeakerCorrection4!G77,0)</f>
        <v>0</v>
      </c>
      <c r="H206" s="7">
        <f>IF($H$17=1,SpeakerCorrection1!H77,0)+IF($H$17=2,SpeakerCorrection2!H77,0)+IF($H$17=3,SpeakerCorrection3!H77,0)+IF($H$17=4,SpeakerCorrection4!H77,0)</f>
        <v>0</v>
      </c>
    </row>
    <row r="207" spans="1:8" ht="12" customHeight="1">
      <c r="A207" s="81" t="s">
        <v>123</v>
      </c>
      <c r="B207" s="4">
        <v>20</v>
      </c>
      <c r="C207" s="5" t="s">
        <v>130</v>
      </c>
      <c r="D207" s="2" t="s">
        <v>124</v>
      </c>
      <c r="E207" s="53">
        <f>IF($H$17=1,SpeakerCorrection1!E78,0)+IF($H$17=2,SpeakerCorrection2!E78,0)+IF($H$17=3,SpeakerCorrection3!E78,0)+IF($H$17=4,SpeakerCorrection4!E78,0)</f>
        <v>0</v>
      </c>
      <c r="F207" s="53">
        <f>IF($H$17=1,SpeakerCorrection1!F78,0)+IF($H$17=2,SpeakerCorrection2!F78,0)+IF($H$17=3,SpeakerCorrection3!F78,0)+IF($H$17=4,SpeakerCorrection4!F78,0)</f>
        <v>0</v>
      </c>
      <c r="G207" s="53">
        <f>IF($H$17=1,SpeakerCorrection1!G78,0)+IF($H$17=2,SpeakerCorrection2!G78,0)+IF($H$17=3,SpeakerCorrection3!G78,0)+IF($H$17=4,SpeakerCorrection4!G78,0)</f>
        <v>0</v>
      </c>
      <c r="H207" s="53">
        <f>IF($H$17=1,SpeakerCorrection1!H78,0)+IF($H$17=2,SpeakerCorrection2!H78,0)+IF($H$17=3,SpeakerCorrection3!H78,0)+IF($H$17=4,SpeakerCorrection4!H78,0)</f>
        <v>0</v>
      </c>
    </row>
    <row r="208" spans="1:8" ht="12" customHeight="1">
      <c r="A208" s="82"/>
      <c r="B208" s="4">
        <v>30</v>
      </c>
      <c r="C208" s="5" t="s">
        <v>130</v>
      </c>
      <c r="D208" s="2" t="s">
        <v>124</v>
      </c>
      <c r="E208" s="53">
        <f>IF($H$17=1,SpeakerCorrection1!E79,0)+IF($H$17=2,SpeakerCorrection2!E79,0)+IF($H$17=3,SpeakerCorrection3!E79,0)+IF($H$17=4,SpeakerCorrection4!E79,0)</f>
        <v>0</v>
      </c>
      <c r="F208" s="53">
        <f>IF($H$17=1,SpeakerCorrection1!F79,0)+IF($H$17=2,SpeakerCorrection2!F79,0)+IF($H$17=3,SpeakerCorrection3!F79,0)+IF($H$17=4,SpeakerCorrection4!F79,0)</f>
        <v>0</v>
      </c>
      <c r="G208" s="53">
        <f>IF($H$17=1,SpeakerCorrection1!G79,0)+IF($H$17=2,SpeakerCorrection2!G79,0)+IF($H$17=3,SpeakerCorrection3!G79,0)+IF($H$17=4,SpeakerCorrection4!G79,0)</f>
        <v>0</v>
      </c>
      <c r="H208" s="53">
        <f>IF($H$17=1,SpeakerCorrection1!H79,0)+IF($H$17=2,SpeakerCorrection2!H79,0)+IF($H$17=3,SpeakerCorrection3!H79,0)+IF($H$17=4,SpeakerCorrection4!H79,0)</f>
        <v>0</v>
      </c>
    </row>
    <row r="209" spans="1:8" ht="12" customHeight="1">
      <c r="A209" s="82"/>
      <c r="B209" s="4">
        <v>40</v>
      </c>
      <c r="C209" s="5" t="s">
        <v>130</v>
      </c>
      <c r="D209" s="2" t="s">
        <v>124</v>
      </c>
      <c r="E209" s="53">
        <f>IF($H$17=1,SpeakerCorrection1!E80,0)+IF($H$17=2,SpeakerCorrection2!E80,0)+IF($H$17=3,SpeakerCorrection3!E80,0)+IF($H$17=4,SpeakerCorrection4!E80,0)</f>
        <v>0</v>
      </c>
      <c r="F209" s="53">
        <f>IF($H$17=1,SpeakerCorrection1!F80,0)+IF($H$17=2,SpeakerCorrection2!F80,0)+IF($H$17=3,SpeakerCorrection3!F80,0)+IF($H$17=4,SpeakerCorrection4!F80,0)</f>
        <v>0</v>
      </c>
      <c r="G209" s="53">
        <f>IF($H$17=1,SpeakerCorrection1!G80,0)+IF($H$17=2,SpeakerCorrection2!G80,0)+IF($H$17=3,SpeakerCorrection3!G80,0)+IF($H$17=4,SpeakerCorrection4!G80,0)</f>
        <v>0</v>
      </c>
      <c r="H209" s="53">
        <f>IF($H$17=1,SpeakerCorrection1!H80,0)+IF($H$17=2,SpeakerCorrection2!H80,0)+IF($H$17=3,SpeakerCorrection3!H80,0)+IF($H$17=4,SpeakerCorrection4!H80,0)</f>
        <v>0</v>
      </c>
    </row>
    <row r="210" spans="1:8" ht="12" customHeight="1">
      <c r="A210" s="82"/>
      <c r="B210" s="4">
        <v>50</v>
      </c>
      <c r="C210" s="5" t="s">
        <v>130</v>
      </c>
      <c r="D210" s="2" t="s">
        <v>124</v>
      </c>
      <c r="E210" s="53">
        <f>IF($H$17=1,SpeakerCorrection1!E81,0)+IF($H$17=2,SpeakerCorrection2!E81,0)+IF($H$17=3,SpeakerCorrection3!E81,0)+IF($H$17=4,SpeakerCorrection4!E81,0)</f>
        <v>0</v>
      </c>
      <c r="F210" s="53">
        <f>IF($H$17=1,SpeakerCorrection1!F81,0)+IF($H$17=2,SpeakerCorrection2!F81,0)+IF($H$17=3,SpeakerCorrection3!F81,0)+IF($H$17=4,SpeakerCorrection4!F81,0)</f>
        <v>0</v>
      </c>
      <c r="G210" s="53">
        <f>IF($H$17=1,SpeakerCorrection1!G81,0)+IF($H$17=2,SpeakerCorrection2!G81,0)+IF($H$17=3,SpeakerCorrection3!G81,0)+IF($H$17=4,SpeakerCorrection4!G81,0)</f>
        <v>0</v>
      </c>
      <c r="H210" s="53">
        <f>IF($H$17=1,SpeakerCorrection1!H81,0)+IF($H$17=2,SpeakerCorrection2!H81,0)+IF($H$17=3,SpeakerCorrection3!H81,0)+IF($H$17=4,SpeakerCorrection4!H81,0)</f>
        <v>0</v>
      </c>
    </row>
    <row r="211" spans="1:8" ht="12" customHeight="1">
      <c r="A211" s="82"/>
      <c r="B211" s="4">
        <v>70</v>
      </c>
      <c r="C211" s="5" t="s">
        <v>130</v>
      </c>
      <c r="D211" s="2" t="s">
        <v>124</v>
      </c>
      <c r="E211" s="53">
        <f>IF($H$17=1,SpeakerCorrection1!E82,0)+IF($H$17=2,SpeakerCorrection2!E82,0)+IF($H$17=3,SpeakerCorrection3!E82,0)+IF($H$17=4,SpeakerCorrection4!E82,0)</f>
        <v>0</v>
      </c>
      <c r="F211" s="53">
        <f>IF($H$17=1,SpeakerCorrection1!F82,0)+IF($H$17=2,SpeakerCorrection2!F82,0)+IF($H$17=3,SpeakerCorrection3!F82,0)+IF($H$17=4,SpeakerCorrection4!F82,0)</f>
        <v>0</v>
      </c>
      <c r="G211" s="53">
        <f>IF($H$17=1,SpeakerCorrection1!G82,0)+IF($H$17=2,SpeakerCorrection2!G82,0)+IF($H$17=3,SpeakerCorrection3!G82,0)+IF($H$17=4,SpeakerCorrection4!G82,0)</f>
        <v>0</v>
      </c>
      <c r="H211" s="53">
        <f>IF($H$17=1,SpeakerCorrection1!H82,0)+IF($H$17=2,SpeakerCorrection2!H82,0)+IF($H$17=3,SpeakerCorrection3!H82,0)+IF($H$17=4,SpeakerCorrection4!H82,0)</f>
        <v>0</v>
      </c>
    </row>
    <row r="212" spans="1:8" ht="12" customHeight="1">
      <c r="A212" s="82"/>
      <c r="B212" s="4">
        <v>100</v>
      </c>
      <c r="C212" s="5" t="s">
        <v>130</v>
      </c>
      <c r="D212" s="2" t="s">
        <v>124</v>
      </c>
      <c r="E212" s="53">
        <f>IF($H$17=1,SpeakerCorrection1!E83,0)+IF($H$17=2,SpeakerCorrection2!E83,0)+IF($H$17=3,SpeakerCorrection3!E83,0)+IF($H$17=4,SpeakerCorrection4!E83,0)</f>
        <v>0</v>
      </c>
      <c r="F212" s="53">
        <f>IF($H$17=1,SpeakerCorrection1!F83,0)+IF($H$17=2,SpeakerCorrection2!F83,0)+IF($H$17=3,SpeakerCorrection3!F83,0)+IF($H$17=4,SpeakerCorrection4!F83,0)</f>
        <v>0</v>
      </c>
      <c r="G212" s="53">
        <f>IF($H$17=1,SpeakerCorrection1!G83,0)+IF($H$17=2,SpeakerCorrection2!G83,0)+IF($H$17=3,SpeakerCorrection3!G83,0)+IF($H$17=4,SpeakerCorrection4!G83,0)</f>
        <v>0</v>
      </c>
      <c r="H212" s="53">
        <f>IF($H$17=1,SpeakerCorrection1!H83,0)+IF($H$17=2,SpeakerCorrection2!H83,0)+IF($H$17=3,SpeakerCorrection3!H83,0)+IF($H$17=4,SpeakerCorrection4!H83,0)</f>
        <v>0</v>
      </c>
    </row>
    <row r="213" spans="1:8" ht="12" customHeight="1">
      <c r="A213" s="82"/>
      <c r="B213" s="4">
        <v>150</v>
      </c>
      <c r="C213" s="5" t="s">
        <v>130</v>
      </c>
      <c r="D213" s="2" t="s">
        <v>124</v>
      </c>
      <c r="E213" s="53">
        <f>IF($H$17=1,SpeakerCorrection1!E84,0)+IF($H$17=2,SpeakerCorrection2!E84,0)+IF($H$17=3,SpeakerCorrection3!E84,0)+IF($H$17=4,SpeakerCorrection4!E84,0)</f>
        <v>0</v>
      </c>
      <c r="F213" s="53">
        <f>IF($H$17=1,SpeakerCorrection1!F84,0)+IF($H$17=2,SpeakerCorrection2!F84,0)+IF($H$17=3,SpeakerCorrection3!F84,0)+IF($H$17=4,SpeakerCorrection4!F84,0)</f>
        <v>0</v>
      </c>
      <c r="G213" s="53">
        <f>IF($H$17=1,SpeakerCorrection1!G84,0)+IF($H$17=2,SpeakerCorrection2!G84,0)+IF($H$17=3,SpeakerCorrection3!G84,0)+IF($H$17=4,SpeakerCorrection4!G84,0)</f>
        <v>0</v>
      </c>
      <c r="H213" s="53">
        <f>IF($H$17=1,SpeakerCorrection1!H84,0)+IF($H$17=2,SpeakerCorrection2!H84,0)+IF($H$17=3,SpeakerCorrection3!H84,0)+IF($H$17=4,SpeakerCorrection4!H84,0)</f>
        <v>0</v>
      </c>
    </row>
    <row r="214" spans="1:8" ht="12" customHeight="1">
      <c r="A214" s="82"/>
      <c r="B214" s="4">
        <v>200</v>
      </c>
      <c r="C214" s="5" t="s">
        <v>130</v>
      </c>
      <c r="D214" s="2" t="s">
        <v>124</v>
      </c>
      <c r="E214" s="53">
        <f>IF($H$17=1,SpeakerCorrection1!E85,0)+IF($H$17=2,SpeakerCorrection2!E85,0)+IF($H$17=3,SpeakerCorrection3!E85,0)+IF($H$17=4,SpeakerCorrection4!E85,0)</f>
        <v>0</v>
      </c>
      <c r="F214" s="53">
        <f>IF($H$17=1,SpeakerCorrection1!F85,0)+IF($H$17=2,SpeakerCorrection2!F85,0)+IF($H$17=3,SpeakerCorrection3!F85,0)+IF($H$17=4,SpeakerCorrection4!F85,0)</f>
        <v>0</v>
      </c>
      <c r="G214" s="53">
        <f>IF($H$17=1,SpeakerCorrection1!G85,0)+IF($H$17=2,SpeakerCorrection2!G85,0)+IF($H$17=3,SpeakerCorrection3!G85,0)+IF($H$17=4,SpeakerCorrection4!G85,0)</f>
        <v>0</v>
      </c>
      <c r="H214" s="53">
        <f>IF($H$17=1,SpeakerCorrection1!H85,0)+IF($H$17=2,SpeakerCorrection2!H85,0)+IF($H$17=3,SpeakerCorrection3!H85,0)+IF($H$17=4,SpeakerCorrection4!H85,0)</f>
        <v>0</v>
      </c>
    </row>
    <row r="215" spans="1:8" ht="12" customHeight="1">
      <c r="A215" s="82"/>
      <c r="B215" s="4">
        <v>300</v>
      </c>
      <c r="C215" s="5" t="s">
        <v>130</v>
      </c>
      <c r="D215" s="2" t="s">
        <v>124</v>
      </c>
      <c r="E215" s="53">
        <f>IF($H$17=1,SpeakerCorrection1!E86,0)+IF($H$17=2,SpeakerCorrection2!E86,0)+IF($H$17=3,SpeakerCorrection3!E86,0)+IF($H$17=4,SpeakerCorrection4!E86,0)</f>
        <v>0</v>
      </c>
      <c r="F215" s="53">
        <f>IF($H$17=1,SpeakerCorrection1!F86,0)+IF($H$17=2,SpeakerCorrection2!F86,0)+IF($H$17=3,SpeakerCorrection3!F86,0)+IF($H$17=4,SpeakerCorrection4!F86,0)</f>
        <v>0</v>
      </c>
      <c r="G215" s="53">
        <f>IF($H$17=1,SpeakerCorrection1!G86,0)+IF($H$17=2,SpeakerCorrection2!G86,0)+IF($H$17=3,SpeakerCorrection3!G86,0)+IF($H$17=4,SpeakerCorrection4!G86,0)</f>
        <v>0</v>
      </c>
      <c r="H215" s="53">
        <f>IF($H$17=1,SpeakerCorrection1!H86,0)+IF($H$17=2,SpeakerCorrection2!H86,0)+IF($H$17=3,SpeakerCorrection3!H86,0)+IF($H$17=4,SpeakerCorrection4!H86,0)</f>
        <v>0</v>
      </c>
    </row>
    <row r="216" spans="1:8" ht="12" customHeight="1">
      <c r="A216" s="82"/>
      <c r="B216" s="4">
        <v>400</v>
      </c>
      <c r="C216" s="5" t="s">
        <v>130</v>
      </c>
      <c r="D216" s="2" t="s">
        <v>124</v>
      </c>
      <c r="E216" s="53">
        <f>IF($H$17=1,SpeakerCorrection1!E87,0)+IF($H$17=2,SpeakerCorrection2!E87,0)+IF($H$17=3,SpeakerCorrection3!E87,0)+IF($H$17=4,SpeakerCorrection4!E87,0)</f>
        <v>0</v>
      </c>
      <c r="F216" s="53">
        <f>IF($H$17=1,SpeakerCorrection1!F87,0)+IF($H$17=2,SpeakerCorrection2!F87,0)+IF($H$17=3,SpeakerCorrection3!F87,0)+IF($H$17=4,SpeakerCorrection4!F87,0)</f>
        <v>0</v>
      </c>
      <c r="G216" s="53">
        <f>IF($H$17=1,SpeakerCorrection1!G87,0)+IF($H$17=2,SpeakerCorrection2!G87,0)+IF($H$17=3,SpeakerCorrection3!G87,0)+IF($H$17=4,SpeakerCorrection4!G87,0)</f>
        <v>0</v>
      </c>
      <c r="H216" s="53">
        <f>IF($H$17=1,SpeakerCorrection1!H87,0)+IF($H$17=2,SpeakerCorrection2!H87,0)+IF($H$17=3,SpeakerCorrection3!H87,0)+IF($H$17=4,SpeakerCorrection4!H87,0)</f>
        <v>0</v>
      </c>
    </row>
    <row r="217" spans="1:8" ht="12" customHeight="1">
      <c r="A217" s="82"/>
      <c r="B217" s="4">
        <v>500</v>
      </c>
      <c r="C217" s="5" t="s">
        <v>130</v>
      </c>
      <c r="D217" s="2" t="s">
        <v>124</v>
      </c>
      <c r="E217" s="53">
        <f>IF($H$17=1,SpeakerCorrection1!E88,0)+IF($H$17=2,SpeakerCorrection2!E88,0)+IF($H$17=3,SpeakerCorrection3!E88,0)+IF($H$17=4,SpeakerCorrection4!E88,0)</f>
        <v>0</v>
      </c>
      <c r="F217" s="53">
        <f>IF($H$17=1,SpeakerCorrection1!F88,0)+IF($H$17=2,SpeakerCorrection2!F88,0)+IF($H$17=3,SpeakerCorrection3!F88,0)+IF($H$17=4,SpeakerCorrection4!F88,0)</f>
        <v>0</v>
      </c>
      <c r="G217" s="53">
        <f>IF($H$17=1,SpeakerCorrection1!G88,0)+IF($H$17=2,SpeakerCorrection2!G88,0)+IF($H$17=3,SpeakerCorrection3!G88,0)+IF($H$17=4,SpeakerCorrection4!G88,0)</f>
        <v>0</v>
      </c>
      <c r="H217" s="53">
        <f>IF($H$17=1,SpeakerCorrection1!H88,0)+IF($H$17=2,SpeakerCorrection2!H88,0)+IF($H$17=3,SpeakerCorrection3!H88,0)+IF($H$17=4,SpeakerCorrection4!H88,0)</f>
        <v>0</v>
      </c>
    </row>
    <row r="218" spans="1:8" ht="12" customHeight="1">
      <c r="A218" s="82"/>
      <c r="B218" s="4">
        <v>700</v>
      </c>
      <c r="C218" s="5" t="s">
        <v>130</v>
      </c>
      <c r="D218" s="2" t="s">
        <v>124</v>
      </c>
      <c r="E218" s="53">
        <f>IF($H$17=1,SpeakerCorrection1!E89,0)+IF($H$17=2,SpeakerCorrection2!E89,0)+IF($H$17=3,SpeakerCorrection3!E89,0)+IF($H$17=4,SpeakerCorrection4!E89,0)</f>
        <v>0</v>
      </c>
      <c r="F218" s="53">
        <f>IF($H$17=1,SpeakerCorrection1!F89,0)+IF($H$17=2,SpeakerCorrection2!F89,0)+IF($H$17=3,SpeakerCorrection3!F89,0)+IF($H$17=4,SpeakerCorrection4!F89,0)</f>
        <v>0</v>
      </c>
      <c r="G218" s="53">
        <f>IF($H$17=1,SpeakerCorrection1!G89,0)+IF($H$17=2,SpeakerCorrection2!G89,0)+IF($H$17=3,SpeakerCorrection3!G89,0)+IF($H$17=4,SpeakerCorrection4!G89,0)</f>
        <v>0</v>
      </c>
      <c r="H218" s="53">
        <f>IF($H$17=1,SpeakerCorrection1!H89,0)+IF($H$17=2,SpeakerCorrection2!H89,0)+IF($H$17=3,SpeakerCorrection3!H89,0)+IF($H$17=4,SpeakerCorrection4!H89,0)</f>
        <v>0</v>
      </c>
    </row>
    <row r="219" spans="1:8" ht="12" customHeight="1">
      <c r="A219" s="82"/>
      <c r="B219" s="4" t="s">
        <v>21</v>
      </c>
      <c r="C219" s="5" t="s">
        <v>130</v>
      </c>
      <c r="D219" s="2" t="s">
        <v>124</v>
      </c>
      <c r="E219" s="53">
        <f>IF($H$17=1,SpeakerCorrection1!E90,0)+IF($H$17=2,SpeakerCorrection2!E90,0)+IF($H$17=3,SpeakerCorrection3!E90,0)+IF($H$17=4,SpeakerCorrection4!E90,0)</f>
        <v>0</v>
      </c>
      <c r="F219" s="53">
        <f>IF($H$17=1,SpeakerCorrection1!F90,0)+IF($H$17=2,SpeakerCorrection2!F90,0)+IF($H$17=3,SpeakerCorrection3!F90,0)+IF($H$17=4,SpeakerCorrection4!F90,0)</f>
        <v>0</v>
      </c>
      <c r="G219" s="53">
        <f>IF($H$17=1,SpeakerCorrection1!G90,0)+IF($H$17=2,SpeakerCorrection2!G90,0)+IF($H$17=3,SpeakerCorrection3!G90,0)+IF($H$17=4,SpeakerCorrection4!G90,0)</f>
        <v>0</v>
      </c>
      <c r="H219" s="53">
        <f>IF($H$17=1,SpeakerCorrection1!H90,0)+IF($H$17=2,SpeakerCorrection2!H90,0)+IF($H$17=3,SpeakerCorrection3!H90,0)+IF($H$17=4,SpeakerCorrection4!H90,0)</f>
        <v>0</v>
      </c>
    </row>
    <row r="220" spans="1:8" ht="12" customHeight="1">
      <c r="A220" s="82"/>
      <c r="B220" s="4" t="s">
        <v>22</v>
      </c>
      <c r="C220" s="5" t="s">
        <v>130</v>
      </c>
      <c r="D220" s="2" t="s">
        <v>124</v>
      </c>
      <c r="E220" s="53">
        <f>IF($H$17=1,SpeakerCorrection1!E91,0)+IF($H$17=2,SpeakerCorrection2!E91,0)+IF($H$17=3,SpeakerCorrection3!E91,0)+IF($H$17=4,SpeakerCorrection4!E91,0)</f>
        <v>0</v>
      </c>
      <c r="F220" s="53">
        <f>IF($H$17=1,SpeakerCorrection1!F91,0)+IF($H$17=2,SpeakerCorrection2!F91,0)+IF($H$17=3,SpeakerCorrection3!F91,0)+IF($H$17=4,SpeakerCorrection4!F91,0)</f>
        <v>0</v>
      </c>
      <c r="G220" s="53">
        <f>IF($H$17=1,SpeakerCorrection1!G91,0)+IF($H$17=2,SpeakerCorrection2!G91,0)+IF($H$17=3,SpeakerCorrection3!G91,0)+IF($H$17=4,SpeakerCorrection4!G91,0)</f>
        <v>0</v>
      </c>
      <c r="H220" s="53">
        <f>IF($H$17=1,SpeakerCorrection1!H91,0)+IF($H$17=2,SpeakerCorrection2!H91,0)+IF($H$17=3,SpeakerCorrection3!H91,0)+IF($H$17=4,SpeakerCorrection4!H91,0)</f>
        <v>0</v>
      </c>
    </row>
    <row r="221" spans="1:8" ht="12" customHeight="1">
      <c r="A221" s="82"/>
      <c r="B221" s="4" t="s">
        <v>23</v>
      </c>
      <c r="C221" s="5" t="s">
        <v>130</v>
      </c>
      <c r="D221" s="2" t="s">
        <v>124</v>
      </c>
      <c r="E221" s="53">
        <f>IF($H$17=1,SpeakerCorrection1!E92,0)+IF($H$17=2,SpeakerCorrection2!E92,0)+IF($H$17=3,SpeakerCorrection3!E92,0)+IF($H$17=4,SpeakerCorrection4!E92,0)</f>
        <v>0</v>
      </c>
      <c r="F221" s="53">
        <f>IF($H$17=1,SpeakerCorrection1!F92,0)+IF($H$17=2,SpeakerCorrection2!F92,0)+IF($H$17=3,SpeakerCorrection3!F92,0)+IF($H$17=4,SpeakerCorrection4!F92,0)</f>
        <v>0</v>
      </c>
      <c r="G221" s="53">
        <f>IF($H$17=1,SpeakerCorrection1!G92,0)+IF($H$17=2,SpeakerCorrection2!G92,0)+IF($H$17=3,SpeakerCorrection3!G92,0)+IF($H$17=4,SpeakerCorrection4!G92,0)</f>
        <v>0</v>
      </c>
      <c r="H221" s="53">
        <f>IF($H$17=1,SpeakerCorrection1!H92,0)+IF($H$17=2,SpeakerCorrection2!H92,0)+IF($H$17=3,SpeakerCorrection3!H92,0)+IF($H$17=4,SpeakerCorrection4!H92,0)</f>
        <v>0</v>
      </c>
    </row>
    <row r="222" spans="1:8" ht="12" customHeight="1">
      <c r="A222" s="82"/>
      <c r="B222" s="4" t="s">
        <v>24</v>
      </c>
      <c r="C222" s="5" t="s">
        <v>130</v>
      </c>
      <c r="D222" s="2" t="s">
        <v>124</v>
      </c>
      <c r="E222" s="53">
        <f>IF($H$17=1,SpeakerCorrection1!E93,0)+IF($H$17=2,SpeakerCorrection2!E93,0)+IF($H$17=3,SpeakerCorrection3!E93,0)+IF($H$17=4,SpeakerCorrection4!E93,0)</f>
        <v>0</v>
      </c>
      <c r="F222" s="53">
        <f>IF($H$17=1,SpeakerCorrection1!F93,0)+IF($H$17=2,SpeakerCorrection2!F93,0)+IF($H$17=3,SpeakerCorrection3!F93,0)+IF($H$17=4,SpeakerCorrection4!F93,0)</f>
        <v>0</v>
      </c>
      <c r="G222" s="53">
        <f>IF($H$17=1,SpeakerCorrection1!G93,0)+IF($H$17=2,SpeakerCorrection2!G93,0)+IF($H$17=3,SpeakerCorrection3!G93,0)+IF($H$17=4,SpeakerCorrection4!G93,0)</f>
        <v>0</v>
      </c>
      <c r="H222" s="53">
        <f>IF($H$17=1,SpeakerCorrection1!H93,0)+IF($H$17=2,SpeakerCorrection2!H93,0)+IF($H$17=3,SpeakerCorrection3!H93,0)+IF($H$17=4,SpeakerCorrection4!H93,0)</f>
        <v>0</v>
      </c>
    </row>
    <row r="223" spans="1:8" ht="12" customHeight="1">
      <c r="A223" s="82"/>
      <c r="B223" s="4" t="s">
        <v>25</v>
      </c>
      <c r="C223" s="5" t="s">
        <v>130</v>
      </c>
      <c r="D223" s="2" t="s">
        <v>124</v>
      </c>
      <c r="E223" s="53">
        <f>IF($H$17=1,SpeakerCorrection1!E94,0)+IF($H$17=2,SpeakerCorrection2!E94,0)+IF($H$17=3,SpeakerCorrection3!E94,0)+IF($H$17=4,SpeakerCorrection4!E94,0)</f>
        <v>0</v>
      </c>
      <c r="F223" s="53">
        <f>IF($H$17=1,SpeakerCorrection1!F94,0)+IF($H$17=2,SpeakerCorrection2!F94,0)+IF($H$17=3,SpeakerCorrection3!F94,0)+IF($H$17=4,SpeakerCorrection4!F94,0)</f>
        <v>0</v>
      </c>
      <c r="G223" s="53">
        <f>IF($H$17=1,SpeakerCorrection1!G94,0)+IF($H$17=2,SpeakerCorrection2!G94,0)+IF($H$17=3,SpeakerCorrection3!G94,0)+IF($H$17=4,SpeakerCorrection4!G94,0)</f>
        <v>0</v>
      </c>
      <c r="H223" s="53">
        <f>IF($H$17=1,SpeakerCorrection1!H94,0)+IF($H$17=2,SpeakerCorrection2!H94,0)+IF($H$17=3,SpeakerCorrection3!H94,0)+IF($H$17=4,SpeakerCorrection4!H94,0)</f>
        <v>0</v>
      </c>
    </row>
    <row r="224" spans="1:8" ht="12" customHeight="1">
      <c r="A224" s="82"/>
      <c r="B224" s="4" t="s">
        <v>26</v>
      </c>
      <c r="C224" s="5" t="s">
        <v>130</v>
      </c>
      <c r="D224" s="2" t="s">
        <v>124</v>
      </c>
      <c r="E224" s="53">
        <f>IF($H$17=1,SpeakerCorrection1!E95,0)+IF($H$17=2,SpeakerCorrection2!E95,0)+IF($H$17=3,SpeakerCorrection3!E95,0)+IF($H$17=4,SpeakerCorrection4!E95,0)</f>
        <v>0</v>
      </c>
      <c r="F224" s="53">
        <f>IF($H$17=1,SpeakerCorrection1!F95,0)+IF($H$17=2,SpeakerCorrection2!F95,0)+IF($H$17=3,SpeakerCorrection3!F95,0)+IF($H$17=4,SpeakerCorrection4!F95,0)</f>
        <v>0</v>
      </c>
      <c r="G224" s="53">
        <f>IF($H$17=1,SpeakerCorrection1!G95,0)+IF($H$17=2,SpeakerCorrection2!G95,0)+IF($H$17=3,SpeakerCorrection3!G95,0)+IF($H$17=4,SpeakerCorrection4!G95,0)</f>
        <v>0</v>
      </c>
      <c r="H224" s="53">
        <f>IF($H$17=1,SpeakerCorrection1!H95,0)+IF($H$17=2,SpeakerCorrection2!H95,0)+IF($H$17=3,SpeakerCorrection3!H95,0)+IF($H$17=4,SpeakerCorrection4!H95,0)</f>
        <v>0</v>
      </c>
    </row>
    <row r="225" spans="1:8" ht="12" customHeight="1">
      <c r="A225" s="82"/>
      <c r="B225" s="4" t="s">
        <v>27</v>
      </c>
      <c r="C225" s="5" t="s">
        <v>130</v>
      </c>
      <c r="D225" s="2" t="s">
        <v>124</v>
      </c>
      <c r="E225" s="53">
        <f>IF($H$17=1,SpeakerCorrection1!E96,0)+IF($H$17=2,SpeakerCorrection2!E96,0)+IF($H$17=3,SpeakerCorrection3!E96,0)+IF($H$17=4,SpeakerCorrection4!E96,0)</f>
        <v>0</v>
      </c>
      <c r="F225" s="53">
        <f>IF($H$17=1,SpeakerCorrection1!F96,0)+IF($H$17=2,SpeakerCorrection2!F96,0)+IF($H$17=3,SpeakerCorrection3!F96,0)+IF($H$17=4,SpeakerCorrection4!F96,0)</f>
        <v>0</v>
      </c>
      <c r="G225" s="53">
        <f>IF($H$17=1,SpeakerCorrection1!G96,0)+IF($H$17=2,SpeakerCorrection2!G96,0)+IF($H$17=3,SpeakerCorrection3!G96,0)+IF($H$17=4,SpeakerCorrection4!G96,0)</f>
        <v>0</v>
      </c>
      <c r="H225" s="53">
        <f>IF($H$17=1,SpeakerCorrection1!H96,0)+IF($H$17=2,SpeakerCorrection2!H96,0)+IF($H$17=3,SpeakerCorrection3!H96,0)+IF($H$17=4,SpeakerCorrection4!H96,0)</f>
        <v>0</v>
      </c>
    </row>
    <row r="226" spans="1:8" ht="12" customHeight="1">
      <c r="A226" s="82"/>
      <c r="B226" s="4" t="s">
        <v>28</v>
      </c>
      <c r="C226" s="5" t="s">
        <v>130</v>
      </c>
      <c r="D226" s="2" t="s">
        <v>124</v>
      </c>
      <c r="E226" s="53">
        <f>IF($H$17=1,SpeakerCorrection1!E97,0)+IF($H$17=2,SpeakerCorrection2!E97,0)+IF($H$17=3,SpeakerCorrection3!E97,0)+IF($H$17=4,SpeakerCorrection4!E97,0)</f>
        <v>0</v>
      </c>
      <c r="F226" s="53">
        <f>IF($H$17=1,SpeakerCorrection1!F97,0)+IF($H$17=2,SpeakerCorrection2!F97,0)+IF($H$17=3,SpeakerCorrection3!F97,0)+IF($H$17=4,SpeakerCorrection4!F97,0)</f>
        <v>0</v>
      </c>
      <c r="G226" s="53">
        <f>IF($H$17=1,SpeakerCorrection1!G97,0)+IF($H$17=2,SpeakerCorrection2!G97,0)+IF($H$17=3,SpeakerCorrection3!G97,0)+IF($H$17=4,SpeakerCorrection4!G97,0)</f>
        <v>0</v>
      </c>
      <c r="H226" s="53">
        <f>IF($H$17=1,SpeakerCorrection1!H97,0)+IF($H$17=2,SpeakerCorrection2!H97,0)+IF($H$17=3,SpeakerCorrection3!H97,0)+IF($H$17=4,SpeakerCorrection4!H97,0)</f>
        <v>0</v>
      </c>
    </row>
    <row r="227" spans="1:8" ht="12" customHeight="1">
      <c r="A227" s="82"/>
      <c r="B227" s="4" t="s">
        <v>29</v>
      </c>
      <c r="C227" s="5" t="s">
        <v>130</v>
      </c>
      <c r="D227" s="2" t="s">
        <v>124</v>
      </c>
      <c r="E227" s="53">
        <f>IF($H$17=1,SpeakerCorrection1!E98,0)+IF($H$17=2,SpeakerCorrection2!E98,0)+IF($H$17=3,SpeakerCorrection3!E98,0)+IF($H$17=4,SpeakerCorrection4!E98,0)</f>
        <v>0</v>
      </c>
      <c r="F227" s="53">
        <f>IF($H$17=1,SpeakerCorrection1!F98,0)+IF($H$17=2,SpeakerCorrection2!F98,0)+IF($H$17=3,SpeakerCorrection3!F98,0)+IF($H$17=4,SpeakerCorrection4!F98,0)</f>
        <v>0</v>
      </c>
      <c r="G227" s="53">
        <f>IF($H$17=1,SpeakerCorrection1!G98,0)+IF($H$17=2,SpeakerCorrection2!G98,0)+IF($H$17=3,SpeakerCorrection3!G98,0)+IF($H$17=4,SpeakerCorrection4!G98,0)</f>
        <v>0</v>
      </c>
      <c r="H227" s="53">
        <f>IF($H$17=1,SpeakerCorrection1!H98,0)+IF($H$17=2,SpeakerCorrection2!H98,0)+IF($H$17=3,SpeakerCorrection3!H98,0)+IF($H$17=4,SpeakerCorrection4!H98,0)</f>
        <v>0</v>
      </c>
    </row>
    <row r="228" spans="1:8" ht="12" customHeight="1">
      <c r="A228" s="83"/>
      <c r="B228" s="4" t="s">
        <v>30</v>
      </c>
      <c r="C228" s="5" t="s">
        <v>130</v>
      </c>
      <c r="D228" s="2" t="s">
        <v>124</v>
      </c>
      <c r="E228" s="53">
        <f>IF($H$17=1,SpeakerCorrection1!E99,0)+IF($H$17=2,SpeakerCorrection2!E99,0)+IF($H$17=3,SpeakerCorrection3!E99,0)+IF($H$17=4,SpeakerCorrection4!E99,0)</f>
        <v>0</v>
      </c>
      <c r="F228" s="53">
        <f>IF($H$17=1,SpeakerCorrection1!F99,0)+IF($H$17=2,SpeakerCorrection2!F99,0)+IF($H$17=3,SpeakerCorrection3!F99,0)+IF($H$17=4,SpeakerCorrection4!F99,0)</f>
        <v>0</v>
      </c>
      <c r="G228" s="53">
        <f>IF($H$17=1,SpeakerCorrection1!G99,0)+IF($H$17=2,SpeakerCorrection2!G99,0)+IF($H$17=3,SpeakerCorrection3!G99,0)+IF($H$17=4,SpeakerCorrection4!G99,0)</f>
        <v>0</v>
      </c>
      <c r="H228" s="53">
        <f>IF($H$17=1,SpeakerCorrection1!H99,0)+IF($H$17=2,SpeakerCorrection2!H99,0)+IF($H$17=3,SpeakerCorrection3!H99,0)+IF($H$17=4,SpeakerCorrection4!H99,0)</f>
        <v>0</v>
      </c>
    </row>
  </sheetData>
  <sheetProtection password="BF23" sheet="1" objects="1" scenarios="1"/>
  <mergeCells count="20">
    <mergeCell ref="A75:A96"/>
    <mergeCell ref="A53:A74"/>
    <mergeCell ref="G16:H16"/>
    <mergeCell ref="A18:A19"/>
    <mergeCell ref="A31:A37"/>
    <mergeCell ref="A38:A45"/>
    <mergeCell ref="A46:A52"/>
    <mergeCell ref="A1:F1"/>
    <mergeCell ref="A23:A30"/>
    <mergeCell ref="B20:C20"/>
    <mergeCell ref="I29:L29"/>
    <mergeCell ref="M29:M30"/>
    <mergeCell ref="M31:M52"/>
    <mergeCell ref="M53:M74"/>
    <mergeCell ref="A185:A206"/>
    <mergeCell ref="A207:A228"/>
    <mergeCell ref="A163:A184"/>
    <mergeCell ref="A141:A162"/>
    <mergeCell ref="A97:A118"/>
    <mergeCell ref="A119:A140"/>
  </mergeCells>
  <printOptions horizontalCentered="1"/>
  <pageMargins left="0.7874015748031497" right="0.3937007874015748" top="0.787401574803149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19.375" style="0" customWidth="1"/>
    <col min="2" max="2" width="14.125" style="0" customWidth="1"/>
    <col min="3" max="4" width="5.875" style="0" customWidth="1"/>
    <col min="5" max="16" width="11.125" style="0" customWidth="1"/>
  </cols>
  <sheetData>
    <row r="1" spans="1:9" ht="15" customHeight="1">
      <c r="A1" s="88" t="s">
        <v>164</v>
      </c>
      <c r="B1" s="89"/>
      <c r="C1" s="89"/>
      <c r="D1" s="89"/>
      <c r="E1" s="89"/>
      <c r="F1" s="90"/>
      <c r="G1" s="34" t="s">
        <v>150</v>
      </c>
      <c r="H1" s="35" t="s">
        <v>149</v>
      </c>
      <c r="I1" s="65" t="s">
        <v>135</v>
      </c>
    </row>
    <row r="2" spans="1:16" ht="15" customHeight="1">
      <c r="A2" s="27"/>
      <c r="B2" s="28"/>
      <c r="C2" s="28"/>
      <c r="D2" s="28"/>
      <c r="E2" s="28"/>
      <c r="F2" s="28"/>
      <c r="G2" s="28"/>
      <c r="H2" s="29"/>
      <c r="I2" s="66" t="s">
        <v>136</v>
      </c>
      <c r="J2" s="1"/>
      <c r="K2" s="1"/>
      <c r="L2" s="1"/>
      <c r="M2" s="1"/>
      <c r="N2" s="1"/>
      <c r="O2" s="1"/>
      <c r="P2" s="1"/>
    </row>
    <row r="3" spans="1:16" ht="15" customHeight="1">
      <c r="A3" s="27"/>
      <c r="B3" s="28"/>
      <c r="C3" s="28"/>
      <c r="D3" s="28"/>
      <c r="E3" s="28"/>
      <c r="F3" s="28"/>
      <c r="G3" s="28"/>
      <c r="H3" s="29"/>
      <c r="I3" s="1" t="s">
        <v>138</v>
      </c>
      <c r="J3" s="1"/>
      <c r="K3" s="1"/>
      <c r="L3" s="1"/>
      <c r="M3" s="1"/>
      <c r="N3" s="1"/>
      <c r="O3" s="1"/>
      <c r="P3" s="1"/>
    </row>
    <row r="4" spans="1:16" ht="15" customHeight="1">
      <c r="A4" s="27"/>
      <c r="B4" s="28"/>
      <c r="C4" s="28"/>
      <c r="D4" s="28"/>
      <c r="E4" s="28"/>
      <c r="F4" s="28"/>
      <c r="G4" s="28"/>
      <c r="H4" s="29"/>
      <c r="I4" s="1" t="s">
        <v>139</v>
      </c>
      <c r="J4" s="1"/>
      <c r="K4" s="1"/>
      <c r="L4" s="1"/>
      <c r="M4" s="1"/>
      <c r="N4" s="1"/>
      <c r="O4" s="1"/>
      <c r="P4" s="1"/>
    </row>
    <row r="5" spans="1:16" ht="15" customHeight="1">
      <c r="A5" s="27"/>
      <c r="B5" s="28"/>
      <c r="C5" s="28"/>
      <c r="D5" s="28"/>
      <c r="E5" s="28"/>
      <c r="F5" s="28"/>
      <c r="G5" s="28"/>
      <c r="H5" s="29"/>
      <c r="I5" s="1" t="s">
        <v>140</v>
      </c>
      <c r="J5" s="1"/>
      <c r="K5" s="1"/>
      <c r="L5" s="1"/>
      <c r="M5" s="1"/>
      <c r="N5" s="1"/>
      <c r="O5" s="1"/>
      <c r="P5" s="1"/>
    </row>
    <row r="6" spans="1:16" ht="15" customHeight="1">
      <c r="A6" s="27"/>
      <c r="B6" s="28"/>
      <c r="C6" s="28"/>
      <c r="D6" s="28"/>
      <c r="E6" s="28"/>
      <c r="F6" s="28"/>
      <c r="G6" s="28"/>
      <c r="H6" s="29"/>
      <c r="I6" s="66" t="s">
        <v>137</v>
      </c>
      <c r="J6" s="1"/>
      <c r="K6" s="1"/>
      <c r="L6" s="1"/>
      <c r="M6" s="1"/>
      <c r="N6" s="1"/>
      <c r="O6" s="1"/>
      <c r="P6" s="1"/>
    </row>
    <row r="7" spans="1:16" ht="15" customHeight="1">
      <c r="A7" s="27"/>
      <c r="B7" s="28"/>
      <c r="C7" s="28"/>
      <c r="D7" s="28"/>
      <c r="E7" s="28"/>
      <c r="F7" s="28"/>
      <c r="G7" s="28"/>
      <c r="H7" s="29"/>
      <c r="I7" s="1" t="s">
        <v>141</v>
      </c>
      <c r="J7" s="1"/>
      <c r="K7" s="1"/>
      <c r="L7" s="1"/>
      <c r="M7" s="1"/>
      <c r="N7" s="1"/>
      <c r="O7" s="1"/>
      <c r="P7" s="1"/>
    </row>
    <row r="8" spans="1:16" ht="15" customHeight="1">
      <c r="A8" s="27"/>
      <c r="B8" s="28"/>
      <c r="C8" s="28"/>
      <c r="D8" s="28"/>
      <c r="E8" s="28"/>
      <c r="F8" s="28"/>
      <c r="G8" s="28"/>
      <c r="H8" s="29"/>
      <c r="I8" s="1" t="s">
        <v>142</v>
      </c>
      <c r="J8" s="1"/>
      <c r="K8" s="1"/>
      <c r="L8" s="1"/>
      <c r="M8" s="1"/>
      <c r="N8" s="1"/>
      <c r="O8" s="1"/>
      <c r="P8" s="1"/>
    </row>
    <row r="9" spans="1:16" ht="15" customHeight="1">
      <c r="A9" s="27"/>
      <c r="B9" s="28"/>
      <c r="C9" s="28"/>
      <c r="D9" s="28"/>
      <c r="E9" s="28"/>
      <c r="F9" s="28"/>
      <c r="G9" s="28"/>
      <c r="H9" s="29"/>
      <c r="I9" s="1" t="s">
        <v>143</v>
      </c>
      <c r="J9" s="1"/>
      <c r="K9" s="1"/>
      <c r="L9" s="1"/>
      <c r="M9" s="1"/>
      <c r="N9" s="1"/>
      <c r="O9" s="1"/>
      <c r="P9" s="1"/>
    </row>
    <row r="10" spans="1:16" ht="15" customHeight="1">
      <c r="A10" s="27"/>
      <c r="B10" s="28"/>
      <c r="C10" s="28"/>
      <c r="D10" s="28"/>
      <c r="E10" s="28"/>
      <c r="F10" s="28"/>
      <c r="G10" s="28"/>
      <c r="H10" s="29"/>
      <c r="I10" s="1" t="s">
        <v>144</v>
      </c>
      <c r="J10" s="1"/>
      <c r="K10" s="1"/>
      <c r="L10" s="1"/>
      <c r="M10" s="1"/>
      <c r="N10" s="1"/>
      <c r="O10" s="1"/>
      <c r="P10" s="1"/>
    </row>
    <row r="11" spans="1:16" ht="15" customHeight="1">
      <c r="A11" s="27"/>
      <c r="B11" s="28"/>
      <c r="C11" s="28"/>
      <c r="D11" s="28"/>
      <c r="E11" s="28"/>
      <c r="F11" s="28"/>
      <c r="G11" s="28"/>
      <c r="H11" s="29"/>
      <c r="I11" s="1" t="s">
        <v>145</v>
      </c>
      <c r="J11" s="1"/>
      <c r="K11" s="1"/>
      <c r="L11" s="1"/>
      <c r="M11" s="1"/>
      <c r="N11" s="1"/>
      <c r="O11" s="1"/>
      <c r="P11" s="1"/>
    </row>
    <row r="12" spans="1:16" ht="15" customHeight="1">
      <c r="A12" s="27"/>
      <c r="B12" s="28"/>
      <c r="C12" s="28"/>
      <c r="D12" s="28"/>
      <c r="E12" s="28"/>
      <c r="F12" s="28"/>
      <c r="G12" s="28"/>
      <c r="H12" s="29"/>
      <c r="I12" s="1" t="s">
        <v>147</v>
      </c>
      <c r="J12" s="1"/>
      <c r="K12" s="1"/>
      <c r="L12" s="1"/>
      <c r="M12" s="1"/>
      <c r="N12" s="1"/>
      <c r="O12" s="1"/>
      <c r="P12" s="1"/>
    </row>
    <row r="13" spans="1:16" ht="15" customHeight="1">
      <c r="A13" s="27"/>
      <c r="B13" s="28"/>
      <c r="C13" s="28"/>
      <c r="D13" s="28"/>
      <c r="E13" s="28"/>
      <c r="F13" s="28"/>
      <c r="G13" s="28"/>
      <c r="H13" s="29"/>
      <c r="I13" s="1" t="s">
        <v>146</v>
      </c>
      <c r="J13" s="1"/>
      <c r="K13" s="1"/>
      <c r="L13" s="1"/>
      <c r="M13" s="1"/>
      <c r="N13" s="1"/>
      <c r="O13" s="1"/>
      <c r="P13" s="1"/>
    </row>
    <row r="14" spans="1:16" ht="15" customHeight="1">
      <c r="A14" s="27"/>
      <c r="B14" s="28"/>
      <c r="C14" s="28"/>
      <c r="D14" s="28"/>
      <c r="E14" s="28"/>
      <c r="F14" s="28"/>
      <c r="G14" s="28"/>
      <c r="H14" s="29"/>
      <c r="I14" s="121" t="s">
        <v>218</v>
      </c>
      <c r="J14" s="1"/>
      <c r="K14" s="1"/>
      <c r="L14" s="1"/>
      <c r="M14" s="1"/>
      <c r="N14" s="1"/>
      <c r="O14" s="1"/>
      <c r="P14" s="1"/>
    </row>
    <row r="15" spans="1:16" ht="15" customHeight="1">
      <c r="A15" s="27"/>
      <c r="B15" s="28"/>
      <c r="C15" s="28"/>
      <c r="D15" s="28"/>
      <c r="E15" s="28"/>
      <c r="F15" s="28"/>
      <c r="G15" s="28"/>
      <c r="H15" s="29"/>
      <c r="I15" s="120" t="s">
        <v>219</v>
      </c>
      <c r="J15" s="1"/>
      <c r="K15" s="1"/>
      <c r="L15" s="1"/>
      <c r="M15" s="1"/>
      <c r="N15" s="1"/>
      <c r="O15" s="1"/>
      <c r="P15" s="1"/>
    </row>
    <row r="16" spans="1:16" ht="15" customHeight="1">
      <c r="A16" s="13" t="s">
        <v>92</v>
      </c>
      <c r="B16" s="12" t="s">
        <v>99</v>
      </c>
      <c r="C16" s="13" t="s">
        <v>162</v>
      </c>
      <c r="D16" s="2" t="s">
        <v>130</v>
      </c>
      <c r="E16" s="18">
        <v>500</v>
      </c>
      <c r="F16" s="18">
        <v>4000</v>
      </c>
      <c r="G16" s="84" t="s">
        <v>217</v>
      </c>
      <c r="H16" s="85"/>
      <c r="I16" s="122" t="s">
        <v>220</v>
      </c>
      <c r="J16" s="1"/>
      <c r="K16" s="1"/>
      <c r="L16" s="1"/>
      <c r="M16" s="1"/>
      <c r="N16" s="1"/>
      <c r="O16" s="1"/>
      <c r="P16" s="1"/>
    </row>
    <row r="17" spans="1:16" ht="15" customHeight="1">
      <c r="A17" s="39" t="s">
        <v>93</v>
      </c>
      <c r="B17" s="12" t="s">
        <v>100</v>
      </c>
      <c r="C17" s="13"/>
      <c r="D17" s="2" t="s">
        <v>128</v>
      </c>
      <c r="E17" s="57" t="s">
        <v>180</v>
      </c>
      <c r="F17" s="36"/>
      <c r="G17" s="43" t="s">
        <v>113</v>
      </c>
      <c r="H17" s="44"/>
      <c r="I17" s="120" t="s">
        <v>221</v>
      </c>
      <c r="J17" s="1"/>
      <c r="K17" s="1"/>
      <c r="L17" s="1"/>
      <c r="M17" s="1"/>
      <c r="N17" s="1"/>
      <c r="O17" s="1"/>
      <c r="P17" s="1"/>
    </row>
    <row r="18" spans="1:16" ht="15" customHeight="1">
      <c r="A18" s="93" t="s">
        <v>94</v>
      </c>
      <c r="B18" s="12" t="s">
        <v>101</v>
      </c>
      <c r="C18" s="13" t="s">
        <v>170</v>
      </c>
      <c r="D18" s="2" t="s">
        <v>131</v>
      </c>
      <c r="E18" s="3">
        <f>$H$21*10^3/(2*PI()*E$16)*2^0.5</f>
        <v>2.7009489484713187</v>
      </c>
      <c r="F18" s="3">
        <f>$H$21*10^3/(2*PI()*E$16)*2^0.5</f>
        <v>2.7009489484713187</v>
      </c>
      <c r="G18" s="3">
        <f>$H$21*10^3/(2*PI()*F$16)*2^0.5</f>
        <v>0.33761861855891484</v>
      </c>
      <c r="H18" s="3">
        <f>$H$21*10^3/(2*PI()*F$16)*2^0.5</f>
        <v>0.33761861855891484</v>
      </c>
      <c r="I18" s="120" t="s">
        <v>222</v>
      </c>
      <c r="J18" s="1"/>
      <c r="K18" s="1"/>
      <c r="L18" s="1"/>
      <c r="M18" s="1"/>
      <c r="N18" s="1"/>
      <c r="O18" s="1"/>
      <c r="P18" s="1"/>
    </row>
    <row r="19" spans="1:16" ht="15" customHeight="1">
      <c r="A19" s="94"/>
      <c r="B19" s="12" t="s">
        <v>102</v>
      </c>
      <c r="C19" s="13" t="s">
        <v>171</v>
      </c>
      <c r="D19" s="67" t="s">
        <v>132</v>
      </c>
      <c r="E19" s="3">
        <f>10^6/(2*PI()*E$16*$H$21)/2^0.5</f>
        <v>37.51317983987942</v>
      </c>
      <c r="F19" s="3">
        <f>10^6/(2*PI()*E$16*$H$21)/2^0.5</f>
        <v>37.51317983987942</v>
      </c>
      <c r="G19" s="3">
        <f>10^6/(2*PI()*F$16*$H$21)/2^0.5</f>
        <v>4.6891474799849275</v>
      </c>
      <c r="H19" s="3">
        <f>10^6/(2*PI()*F$16*$H$21)/2^0.5</f>
        <v>4.6891474799849275</v>
      </c>
      <c r="I19" s="120" t="s">
        <v>223</v>
      </c>
      <c r="J19" s="1"/>
      <c r="K19" s="1"/>
      <c r="L19" s="1"/>
      <c r="M19" s="1"/>
      <c r="N19" s="1"/>
      <c r="O19" s="1"/>
      <c r="P19" s="1"/>
    </row>
    <row r="20" spans="1:16" ht="12" customHeight="1">
      <c r="A20" s="33" t="s">
        <v>95</v>
      </c>
      <c r="B20" s="91" t="s">
        <v>103</v>
      </c>
      <c r="C20" s="92"/>
      <c r="D20" s="33" t="s">
        <v>111</v>
      </c>
      <c r="E20" s="2" t="s">
        <v>148</v>
      </c>
      <c r="F20" s="2" t="s">
        <v>151</v>
      </c>
      <c r="G20" s="2" t="s">
        <v>155</v>
      </c>
      <c r="H20" s="2" t="s">
        <v>152</v>
      </c>
      <c r="I20" s="120" t="s">
        <v>224</v>
      </c>
      <c r="J20" s="1"/>
      <c r="K20" s="1"/>
      <c r="L20" s="1"/>
      <c r="M20" s="1"/>
      <c r="N20" s="1"/>
      <c r="O20" s="1"/>
      <c r="P20" s="1"/>
    </row>
    <row r="21" spans="1:16" ht="12" customHeight="1">
      <c r="A21" s="13" t="s">
        <v>96</v>
      </c>
      <c r="B21" s="16" t="s">
        <v>182</v>
      </c>
      <c r="C21" s="17" t="s">
        <v>75</v>
      </c>
      <c r="D21" s="2" t="s">
        <v>127</v>
      </c>
      <c r="E21" s="46">
        <v>6</v>
      </c>
      <c r="F21" s="46">
        <v>6</v>
      </c>
      <c r="G21" s="46">
        <v>6</v>
      </c>
      <c r="H21" s="19">
        <v>6</v>
      </c>
      <c r="I21" s="120" t="s">
        <v>225</v>
      </c>
      <c r="J21" s="1"/>
      <c r="K21" s="1"/>
      <c r="L21" s="1"/>
      <c r="M21" s="1"/>
      <c r="N21" s="1"/>
      <c r="O21" s="1"/>
      <c r="P21" s="1"/>
    </row>
    <row r="22" spans="1:16" ht="12" customHeight="1">
      <c r="A22" s="12" t="s">
        <v>97</v>
      </c>
      <c r="B22" s="16" t="s">
        <v>182</v>
      </c>
      <c r="C22" s="13" t="s">
        <v>86</v>
      </c>
      <c r="D22" s="2" t="s">
        <v>133</v>
      </c>
      <c r="E22" s="46">
        <v>91</v>
      </c>
      <c r="F22" s="46">
        <v>91</v>
      </c>
      <c r="G22" s="46">
        <v>91</v>
      </c>
      <c r="H22" s="8">
        <v>91</v>
      </c>
      <c r="I22" s="1"/>
      <c r="J22" s="1"/>
      <c r="K22" s="1"/>
      <c r="L22" s="1"/>
      <c r="M22" s="1"/>
      <c r="N22" s="1"/>
      <c r="O22" s="1"/>
      <c r="P22" s="1"/>
    </row>
    <row r="23" spans="1:16" ht="12" customHeight="1">
      <c r="A23" s="95" t="s">
        <v>98</v>
      </c>
      <c r="B23" s="12" t="s">
        <v>107</v>
      </c>
      <c r="C23" s="13" t="s">
        <v>87</v>
      </c>
      <c r="D23" s="2" t="s">
        <v>134</v>
      </c>
      <c r="E23" s="8">
        <v>6</v>
      </c>
      <c r="F23" s="8">
        <v>6</v>
      </c>
      <c r="G23" s="8">
        <v>6</v>
      </c>
      <c r="H23" s="23"/>
      <c r="I23" s="1"/>
      <c r="J23" s="1"/>
      <c r="K23" s="1"/>
      <c r="L23" s="1"/>
      <c r="M23" s="1"/>
      <c r="N23" s="1"/>
      <c r="O23" s="1"/>
      <c r="P23" s="1"/>
    </row>
    <row r="24" spans="1:16" ht="12" customHeight="1">
      <c r="A24" s="96"/>
      <c r="B24" s="12" t="s">
        <v>104</v>
      </c>
      <c r="C24" s="13" t="s">
        <v>85</v>
      </c>
      <c r="D24" s="2" t="s">
        <v>133</v>
      </c>
      <c r="E24" s="8">
        <v>91</v>
      </c>
      <c r="F24" s="8">
        <v>91</v>
      </c>
      <c r="G24" s="8">
        <v>91</v>
      </c>
      <c r="H24" s="14"/>
      <c r="I24" s="1"/>
      <c r="J24" s="1"/>
      <c r="K24" s="1"/>
      <c r="L24" s="1"/>
      <c r="M24" s="1"/>
      <c r="N24" s="1"/>
      <c r="O24" s="1"/>
      <c r="P24" s="1"/>
    </row>
    <row r="25" spans="1:16" ht="12" customHeight="1">
      <c r="A25" s="96"/>
      <c r="B25" s="12" t="s">
        <v>105</v>
      </c>
      <c r="C25" s="13" t="s">
        <v>12</v>
      </c>
      <c r="D25" s="2"/>
      <c r="E25" s="9">
        <v>1</v>
      </c>
      <c r="F25" s="9">
        <v>1</v>
      </c>
      <c r="G25" s="9">
        <v>1</v>
      </c>
      <c r="H25" s="14"/>
      <c r="I25" s="1"/>
      <c r="J25" s="1"/>
      <c r="K25" s="1"/>
      <c r="L25" s="1"/>
      <c r="M25" s="1"/>
      <c r="N25" s="1"/>
      <c r="O25" s="1"/>
      <c r="P25" s="1"/>
    </row>
    <row r="26" spans="1:16" ht="12" customHeight="1">
      <c r="A26" s="96"/>
      <c r="B26" s="12" t="s">
        <v>106</v>
      </c>
      <c r="C26" s="13" t="s">
        <v>153</v>
      </c>
      <c r="D26" s="2" t="s">
        <v>134</v>
      </c>
      <c r="E26" s="14" t="str">
        <f>IF(E$21*E$22*E$23*E$24=0,"",IF(E$25=0,"",IF(E$22&gt;E$24+10*LOG(E$21/E$23),"Unable",IF(E$23/(10^((E$22-E$24-10*LOG(E$21/E$23))/20))-E$21=0,"Blank",IF(E$25=0,"",E$21*E$23/ABS(E$23/(10^((E$22-E$24-10*LOG(E$21/E$23))/20))-E$21))))))</f>
        <v>Blank</v>
      </c>
      <c r="F26" s="14" t="str">
        <f>IF(F$21*F$22*F$23*F$24=0,"",IF(F$25=0,"",IF(F$22&gt;F$24+10*LOG(F$21/F$23),"Unable",IF(F$23/(10^((F$22-F$24-10*LOG(F$21/F$23))/20))-F$21=0,"Blank",IF(F$25=0,"",F$21*F$23/ABS(F$23/(10^((F$22-F$24-10*LOG(F$21/F$23))/20))-F$21))))))</f>
        <v>Blank</v>
      </c>
      <c r="G26" s="14" t="str">
        <f>IF(G$21*G$22*G$23*G$24=0,"",IF(G$25=0,"",IF(G$22&gt;G$24+10*LOG(G$21/G$23),"Unable",IF(G$23/(10^((G$22-G$24-10*LOG(G$21/G$23))/20))-G$21=0,"Blank",IF(G$25=0,"",G$21*G$23/ABS(G$23/(10^((G$22-G$24-10*LOG(G$21/G$23))/20))-G$21))))))</f>
        <v>Blank</v>
      </c>
      <c r="H26" s="23"/>
      <c r="I26" s="1"/>
      <c r="J26" s="1"/>
      <c r="K26" s="1"/>
      <c r="L26" s="1"/>
      <c r="M26" s="1"/>
      <c r="N26" s="1"/>
      <c r="O26" s="1"/>
      <c r="P26" s="1"/>
    </row>
    <row r="27" spans="1:16" ht="12" customHeight="1">
      <c r="A27" s="96"/>
      <c r="B27" s="12" t="s">
        <v>108</v>
      </c>
      <c r="C27" s="13" t="s">
        <v>154</v>
      </c>
      <c r="D27" s="2" t="s">
        <v>134</v>
      </c>
      <c r="E27" s="14">
        <f>IF(E$21*E$22*E$23*E$24=0,"",IF(E$25=0,"",IF(E$24+E$30&lt;E$22,"Unable",IF(E$26="Unable","Unable",IF(E$26="Blank",E$21-E$23,E$21-E$26*E$23/(E$26+E$23))))))</f>
        <v>0</v>
      </c>
      <c r="F27" s="14">
        <f>IF(F$21*F$22*F$23*F$24=0,"",IF(F$25=0,"",IF(F$24+F$30&lt;F$22,"Unable",IF(F$26="Unable","Unable",IF(F$26="Blank",F$21-F$23,F$21-F$26*F$23/(F$26+F$23))))))</f>
        <v>0</v>
      </c>
      <c r="G27" s="14">
        <f>IF(G$21*G$22*G$23*G$24=0,"",IF(G$25=0,"",IF(G$24+G$30&lt;G$22,"Unable",IF(G$26="Unable","Unable",IF(G$26="Blank",G$21-G$23,G$21-G$26*G$23/(G$26+G$23))))))</f>
        <v>0</v>
      </c>
      <c r="H27" s="14"/>
      <c r="I27" s="1"/>
      <c r="J27" s="1"/>
      <c r="K27" s="1"/>
      <c r="L27" s="1"/>
      <c r="M27" s="1"/>
      <c r="N27" s="1"/>
      <c r="O27" s="1"/>
      <c r="P27" s="1"/>
    </row>
    <row r="28" spans="1:16" ht="12" customHeight="1">
      <c r="A28" s="96"/>
      <c r="B28" s="12" t="s">
        <v>109</v>
      </c>
      <c r="C28" s="22" t="s">
        <v>76</v>
      </c>
      <c r="D28" s="2" t="s">
        <v>134</v>
      </c>
      <c r="E28" s="23">
        <f>IF(E$21*E$22*E$23*E$24=0,"",IF(E$25=1,E$21,E$23))</f>
        <v>6</v>
      </c>
      <c r="F28" s="23">
        <f>IF(F$21*F$22*F$23*F$24=0,"",IF(F$25=1,F$21,F$23))</f>
        <v>6</v>
      </c>
      <c r="G28" s="23">
        <f>IF(G$21*G$22*G$23*G$24=0,"",IF(G$25=1,G$21,G$23))</f>
        <v>6</v>
      </c>
      <c r="H28" s="14"/>
      <c r="I28" s="1"/>
      <c r="J28" s="1"/>
      <c r="K28" s="1"/>
      <c r="L28" s="1"/>
      <c r="M28" s="1"/>
      <c r="N28" s="1"/>
      <c r="O28" s="1"/>
      <c r="P28" s="1"/>
    </row>
    <row r="29" spans="1:16" ht="12" customHeight="1">
      <c r="A29" s="96"/>
      <c r="B29" s="12" t="s">
        <v>110</v>
      </c>
      <c r="C29" s="13" t="s">
        <v>77</v>
      </c>
      <c r="D29" s="2" t="s">
        <v>112</v>
      </c>
      <c r="E29" s="14">
        <f>IF(E$21*E$22*E$23*E$24=0,"",10^(E$30/20))</f>
        <v>1</v>
      </c>
      <c r="F29" s="14">
        <f>IF(F$21*F$22*F$23*F$24=0,"",10^(F$30/20))</f>
        <v>1</v>
      </c>
      <c r="G29" s="14">
        <f>IF(G$21*G$22*G$23*G$24=0,"",10^(G$30/20))</f>
        <v>1</v>
      </c>
      <c r="H29" s="14"/>
      <c r="I29" s="73" t="s">
        <v>210</v>
      </c>
      <c r="J29" s="74"/>
      <c r="K29" s="74"/>
      <c r="L29" s="75"/>
      <c r="M29" s="76"/>
      <c r="N29" s="1"/>
      <c r="O29" s="1"/>
      <c r="P29" s="1"/>
    </row>
    <row r="30" spans="1:16" ht="12" customHeight="1">
      <c r="A30" s="97"/>
      <c r="B30" s="12" t="s">
        <v>110</v>
      </c>
      <c r="C30" s="13" t="s">
        <v>77</v>
      </c>
      <c r="D30" s="2" t="s">
        <v>125</v>
      </c>
      <c r="E30" s="14">
        <f>IF(E$21*E$22*E$23*E$24=0,"",IF(E$25=1,0,E$24-E$22+10*LOG(E$21/E$23)))</f>
        <v>0</v>
      </c>
      <c r="F30" s="14">
        <f>IF(F$21*F$22*F$23*F$24=0,"",IF(F$25=1,0,F$24-F$22+10*LOG(F$21/F$23)))</f>
        <v>0</v>
      </c>
      <c r="G30" s="14">
        <f>IF(G$21*G$22*G$23*G$24=0,"",IF(G$25=1,0,G$24-G$22+10*LOG(G$21/G$23)))</f>
        <v>0</v>
      </c>
      <c r="H30" s="14"/>
      <c r="I30" s="2" t="s">
        <v>211</v>
      </c>
      <c r="J30" s="2" t="s">
        <v>212</v>
      </c>
      <c r="K30" s="2" t="s">
        <v>213</v>
      </c>
      <c r="L30" s="2" t="s">
        <v>214</v>
      </c>
      <c r="M30" s="77"/>
      <c r="N30" s="1"/>
      <c r="O30" s="1"/>
      <c r="P30" s="1"/>
    </row>
    <row r="31" spans="1:13" ht="12" customHeight="1">
      <c r="A31" s="81" t="s">
        <v>114</v>
      </c>
      <c r="B31" s="4">
        <v>20</v>
      </c>
      <c r="C31" s="5" t="s">
        <v>130</v>
      </c>
      <c r="D31" s="68" t="s">
        <v>129</v>
      </c>
      <c r="E31" s="3">
        <f>6/(H141^2+H163^2)^0.5/$H$21</f>
        <v>5.999999999999999</v>
      </c>
      <c r="F31" s="3"/>
      <c r="G31" s="58" t="s">
        <v>161</v>
      </c>
      <c r="H31" s="3">
        <f>10*LOG((10^((IF($H$17=0,0,E185)+E$22-H$22+E$30+20*LOG(E119*E$28/((E97^2*E119^2+E$28^2*(E97-E119)^2)^0.5)))/20))^2+(10^((IF($H$17=0,0,F185)+F$22-H$22+F$30+20*LOG(((E141^2+E163^2)^0.5/(F141^2+(F163-1/F97)^2)^0.5)*(F$28*G119/(G97^2*G119^2+F$28^2*(G97-G119)^2)^0.5)))/20))^2+(10^((IF($H$17=0,0,G185)+G$22-H$22+G$30+20*LOG(((E141^2+E163^2)^0.5/(F141^2+(F163-1/F97)^2)^0.5)*(G$28*H97/(H97^2*H119^2+G$28^2*(H97-H119)^2)^0.5)))/20))^2)+$L31</f>
        <v>-4.821637332766436E-16</v>
      </c>
      <c r="I31" s="71"/>
      <c r="J31" s="71"/>
      <c r="K31" s="71"/>
      <c r="L31" s="72">
        <v>0</v>
      </c>
      <c r="M31" s="78" t="s">
        <v>215</v>
      </c>
    </row>
    <row r="32" spans="1:13" ht="12" customHeight="1">
      <c r="A32" s="86"/>
      <c r="B32" s="4">
        <v>30</v>
      </c>
      <c r="C32" s="5" t="s">
        <v>130</v>
      </c>
      <c r="D32" s="68" t="s">
        <v>129</v>
      </c>
      <c r="E32" s="3">
        <f aca="true" t="shared" si="0" ref="E32:E52">6/(H142^2+H164^2)^0.5/$H$21</f>
        <v>5.999999999999999</v>
      </c>
      <c r="F32" s="3"/>
      <c r="G32" s="3">
        <f>IF(ABS($H76-$H75)&gt;180,ABS(360-ABS($H76-$H75))/($B98-$B97),ABS($H76-$H75)/($B98-$B97))*10</f>
        <v>1.6261952910413395</v>
      </c>
      <c r="H32" s="3">
        <f aca="true" t="shared" si="1" ref="H32:H52">10*LOG((10^((IF($H$17=0,0,E186)+E$22-H$22+E$30+20*LOG(E120*E$28/((E98^2*E120^2+E$28^2*(E98-E120)^2)^0.5)))/20))^2+(10^((IF($H$17=0,0,F186)+F$22-H$22+F$30+20*LOG(((E142^2+E164^2)^0.5/(F142^2+(F164-1/F98)^2)^0.5)*(F$28*G120/(G98^2*G120^2+F$28^2*(G98-G120)^2)^0.5)))/20))^2+(10^((IF($H$17=0,0,G186)+G$22-H$22+G$30+20*LOG(((E142^2+E164^2)^0.5/(F142^2+(F164-1/F98)^2)^0.5)*(G$28*H98/(H98^2*H120^2+G$28^2*(H98-H120)^2)^0.5)))/20))^2)+$L32</f>
        <v>0</v>
      </c>
      <c r="I32" s="71"/>
      <c r="J32" s="71"/>
      <c r="K32" s="71"/>
      <c r="L32" s="72">
        <v>0</v>
      </c>
      <c r="M32" s="79"/>
    </row>
    <row r="33" spans="1:13" ht="12" customHeight="1">
      <c r="A33" s="86"/>
      <c r="B33" s="4">
        <v>40</v>
      </c>
      <c r="C33" s="5" t="s">
        <v>130</v>
      </c>
      <c r="D33" s="68" t="s">
        <v>129</v>
      </c>
      <c r="E33" s="3">
        <f t="shared" si="0"/>
        <v>5.999999999999999</v>
      </c>
      <c r="F33" s="3"/>
      <c r="G33" s="3">
        <f aca="true" t="shared" si="2" ref="G33:G52">IF(ABS($H77-$H76)&gt;180,ABS(360-ABS($H77-$H76))/($B99-$B98),ABS($H77-$H76)/($B99-$B98))*10</f>
        <v>1.631495386511733</v>
      </c>
      <c r="H33" s="3">
        <f t="shared" si="1"/>
        <v>2.8929823996598604E-15</v>
      </c>
      <c r="I33" s="71"/>
      <c r="J33" s="71"/>
      <c r="K33" s="71"/>
      <c r="L33" s="72">
        <v>0</v>
      </c>
      <c r="M33" s="79"/>
    </row>
    <row r="34" spans="1:13" ht="12" customHeight="1">
      <c r="A34" s="86"/>
      <c r="B34" s="4">
        <v>50</v>
      </c>
      <c r="C34" s="5" t="s">
        <v>130</v>
      </c>
      <c r="D34" s="68" t="s">
        <v>129</v>
      </c>
      <c r="E34" s="3">
        <f t="shared" si="0"/>
        <v>6</v>
      </c>
      <c r="F34" s="3"/>
      <c r="G34" s="3">
        <f t="shared" si="2"/>
        <v>1.6385152082563286</v>
      </c>
      <c r="H34" s="3">
        <f t="shared" si="1"/>
        <v>-4.821637332766436E-16</v>
      </c>
      <c r="I34" s="71"/>
      <c r="J34" s="71"/>
      <c r="K34" s="71"/>
      <c r="L34" s="72">
        <v>0</v>
      </c>
      <c r="M34" s="79"/>
    </row>
    <row r="35" spans="1:13" ht="12" customHeight="1">
      <c r="A35" s="86"/>
      <c r="B35" s="4">
        <v>70</v>
      </c>
      <c r="C35" s="5" t="s">
        <v>130</v>
      </c>
      <c r="D35" s="68" t="s">
        <v>129</v>
      </c>
      <c r="E35" s="3">
        <f t="shared" si="0"/>
        <v>6</v>
      </c>
      <c r="F35" s="3"/>
      <c r="G35" s="3">
        <f t="shared" si="2"/>
        <v>1.6523785005709763</v>
      </c>
      <c r="H35" s="3">
        <f t="shared" si="1"/>
        <v>-9.643274665532871E-16</v>
      </c>
      <c r="I35" s="71"/>
      <c r="J35" s="71"/>
      <c r="K35" s="71"/>
      <c r="L35" s="72">
        <v>0</v>
      </c>
      <c r="M35" s="79"/>
    </row>
    <row r="36" spans="1:13" ht="12" customHeight="1">
      <c r="A36" s="86"/>
      <c r="B36" s="4">
        <v>100</v>
      </c>
      <c r="C36" s="5" t="s">
        <v>130</v>
      </c>
      <c r="D36" s="68" t="s">
        <v>129</v>
      </c>
      <c r="E36" s="3">
        <f t="shared" si="0"/>
        <v>6</v>
      </c>
      <c r="F36" s="3"/>
      <c r="G36" s="3">
        <f t="shared" si="2"/>
        <v>1.6833045132355213</v>
      </c>
      <c r="H36" s="3">
        <f t="shared" si="1"/>
        <v>9.64327466553287E-16</v>
      </c>
      <c r="I36" s="71"/>
      <c r="J36" s="71"/>
      <c r="K36" s="71"/>
      <c r="L36" s="72">
        <v>0</v>
      </c>
      <c r="M36" s="79"/>
    </row>
    <row r="37" spans="1:13" ht="12" customHeight="1">
      <c r="A37" s="86"/>
      <c r="B37" s="4">
        <v>150</v>
      </c>
      <c r="C37" s="5" t="s">
        <v>130</v>
      </c>
      <c r="D37" s="68" t="s">
        <v>129</v>
      </c>
      <c r="E37" s="3">
        <f t="shared" si="0"/>
        <v>6</v>
      </c>
      <c r="F37" s="3"/>
      <c r="G37" s="3">
        <f t="shared" si="2"/>
        <v>1.7505813722686858</v>
      </c>
      <c r="H37" s="3">
        <f t="shared" si="1"/>
        <v>1.928654933106574E-15</v>
      </c>
      <c r="I37" s="71"/>
      <c r="J37" s="71"/>
      <c r="K37" s="71"/>
      <c r="L37" s="72">
        <v>0</v>
      </c>
      <c r="M37" s="79"/>
    </row>
    <row r="38" spans="1:13" ht="12" customHeight="1">
      <c r="A38" s="82" t="s">
        <v>167</v>
      </c>
      <c r="B38" s="4">
        <v>200</v>
      </c>
      <c r="C38" s="5" t="s">
        <v>130</v>
      </c>
      <c r="D38" s="68" t="s">
        <v>129</v>
      </c>
      <c r="E38" s="3">
        <f t="shared" si="0"/>
        <v>6</v>
      </c>
      <c r="F38" s="3"/>
      <c r="G38" s="3">
        <f t="shared" si="2"/>
        <v>1.8541146952074263</v>
      </c>
      <c r="H38" s="3">
        <f t="shared" si="1"/>
        <v>0</v>
      </c>
      <c r="I38" s="71"/>
      <c r="J38" s="71"/>
      <c r="K38" s="71"/>
      <c r="L38" s="72">
        <v>0</v>
      </c>
      <c r="M38" s="79"/>
    </row>
    <row r="39" spans="1:13" ht="12" customHeight="1">
      <c r="A39" s="86"/>
      <c r="B39" s="4">
        <v>300</v>
      </c>
      <c r="C39" s="5" t="s">
        <v>130</v>
      </c>
      <c r="D39" s="68" t="s">
        <v>129</v>
      </c>
      <c r="E39" s="3">
        <f t="shared" si="0"/>
        <v>6</v>
      </c>
      <c r="F39" s="3"/>
      <c r="G39" s="3">
        <f t="shared" si="2"/>
        <v>2.007400515933366</v>
      </c>
      <c r="H39" s="3">
        <f t="shared" si="1"/>
        <v>-4.821637332766436E-16</v>
      </c>
      <c r="I39" s="71"/>
      <c r="J39" s="71"/>
      <c r="K39" s="71"/>
      <c r="L39" s="72">
        <v>0</v>
      </c>
      <c r="M39" s="79"/>
    </row>
    <row r="40" spans="1:13" ht="12" customHeight="1">
      <c r="A40" s="86"/>
      <c r="B40" s="4">
        <v>400</v>
      </c>
      <c r="C40" s="5" t="s">
        <v>130</v>
      </c>
      <c r="D40" s="68" t="s">
        <v>129</v>
      </c>
      <c r="E40" s="3">
        <f t="shared" si="0"/>
        <v>6.000000000000001</v>
      </c>
      <c r="F40" s="3"/>
      <c r="G40" s="3">
        <f t="shared" si="2"/>
        <v>2.0947425451053534</v>
      </c>
      <c r="H40" s="3">
        <f t="shared" si="1"/>
        <v>0</v>
      </c>
      <c r="I40" s="71"/>
      <c r="J40" s="71"/>
      <c r="K40" s="71"/>
      <c r="L40" s="72">
        <v>0</v>
      </c>
      <c r="M40" s="79"/>
    </row>
    <row r="41" spans="1:13" ht="12" customHeight="1">
      <c r="A41" s="86"/>
      <c r="B41" s="4">
        <v>500</v>
      </c>
      <c r="C41" s="5" t="s">
        <v>130</v>
      </c>
      <c r="D41" s="68" t="s">
        <v>129</v>
      </c>
      <c r="E41" s="3">
        <f t="shared" si="0"/>
        <v>6.000000000000003</v>
      </c>
      <c r="F41" s="3"/>
      <c r="G41" s="3">
        <f t="shared" si="2"/>
        <v>1.9590284209430464</v>
      </c>
      <c r="H41" s="3">
        <f t="shared" si="1"/>
        <v>-2.8929823996598624E-15</v>
      </c>
      <c r="I41" s="71"/>
      <c r="J41" s="71"/>
      <c r="K41" s="71"/>
      <c r="L41" s="72">
        <v>0</v>
      </c>
      <c r="M41" s="79"/>
    </row>
    <row r="42" spans="1:13" ht="12" customHeight="1">
      <c r="A42" s="86"/>
      <c r="B42" s="4">
        <v>700</v>
      </c>
      <c r="C42" s="5" t="s">
        <v>130</v>
      </c>
      <c r="D42" s="68" t="s">
        <v>129</v>
      </c>
      <c r="E42" s="3">
        <f t="shared" si="0"/>
        <v>6.000000000000001</v>
      </c>
      <c r="F42" s="3"/>
      <c r="G42" s="3">
        <f t="shared" si="2"/>
        <v>1.5163620715341295</v>
      </c>
      <c r="H42" s="3">
        <f t="shared" si="1"/>
        <v>-4.821637332766436E-16</v>
      </c>
      <c r="I42" s="71"/>
      <c r="J42" s="71"/>
      <c r="K42" s="71"/>
      <c r="L42" s="72">
        <v>0</v>
      </c>
      <c r="M42" s="79"/>
    </row>
    <row r="43" spans="1:13" ht="12" customHeight="1">
      <c r="A43" s="86"/>
      <c r="B43" s="4" t="s">
        <v>31</v>
      </c>
      <c r="C43" s="5" t="s">
        <v>130</v>
      </c>
      <c r="D43" s="68" t="s">
        <v>129</v>
      </c>
      <c r="E43" s="3">
        <f t="shared" si="0"/>
        <v>6.000000000000001</v>
      </c>
      <c r="F43" s="3"/>
      <c r="G43" s="3">
        <f t="shared" si="2"/>
        <v>0.9330982195352794</v>
      </c>
      <c r="H43" s="3">
        <f t="shared" si="1"/>
        <v>0</v>
      </c>
      <c r="I43" s="71"/>
      <c r="J43" s="71"/>
      <c r="K43" s="71"/>
      <c r="L43" s="72">
        <v>0</v>
      </c>
      <c r="M43" s="79"/>
    </row>
    <row r="44" spans="1:13" ht="12" customHeight="1">
      <c r="A44" s="86"/>
      <c r="B44" s="4" t="s">
        <v>32</v>
      </c>
      <c r="C44" s="5" t="s">
        <v>130</v>
      </c>
      <c r="D44" s="68" t="s">
        <v>129</v>
      </c>
      <c r="E44" s="3">
        <f t="shared" si="0"/>
        <v>6.000000000000001</v>
      </c>
      <c r="F44" s="3"/>
      <c r="G44" s="3">
        <f t="shared" si="2"/>
        <v>0.551235961589241</v>
      </c>
      <c r="H44" s="3">
        <f t="shared" si="1"/>
        <v>-2.8929823996598624E-15</v>
      </c>
      <c r="I44" s="71"/>
      <c r="J44" s="71"/>
      <c r="K44" s="71"/>
      <c r="L44" s="72">
        <v>0</v>
      </c>
      <c r="M44" s="79"/>
    </row>
    <row r="45" spans="1:13" ht="12" customHeight="1">
      <c r="A45" s="86"/>
      <c r="B45" s="4" t="s">
        <v>33</v>
      </c>
      <c r="C45" s="5" t="s">
        <v>130</v>
      </c>
      <c r="D45" s="68" t="s">
        <v>129</v>
      </c>
      <c r="E45" s="3">
        <f t="shared" si="0"/>
        <v>5.999999999999999</v>
      </c>
      <c r="F45" s="3"/>
      <c r="G45" s="3">
        <f t="shared" si="2"/>
        <v>0.39375692763267184</v>
      </c>
      <c r="H45" s="3">
        <f t="shared" si="1"/>
        <v>-1.9286549331065747E-15</v>
      </c>
      <c r="I45" s="71"/>
      <c r="J45" s="71"/>
      <c r="K45" s="71"/>
      <c r="L45" s="72">
        <v>0</v>
      </c>
      <c r="M45" s="79"/>
    </row>
    <row r="46" spans="1:13" ht="12" customHeight="1">
      <c r="A46" s="82" t="s">
        <v>115</v>
      </c>
      <c r="B46" s="4" t="s">
        <v>34</v>
      </c>
      <c r="C46" s="5" t="s">
        <v>130</v>
      </c>
      <c r="D46" s="68" t="s">
        <v>129</v>
      </c>
      <c r="E46" s="3">
        <f t="shared" si="0"/>
        <v>6.000000000000003</v>
      </c>
      <c r="F46" s="3"/>
      <c r="G46" s="3">
        <f t="shared" si="2"/>
        <v>0.3218581399907406</v>
      </c>
      <c r="H46" s="3">
        <f t="shared" si="1"/>
        <v>-3.85730986621315E-15</v>
      </c>
      <c r="I46" s="71"/>
      <c r="J46" s="71"/>
      <c r="K46" s="71"/>
      <c r="L46" s="72">
        <v>0</v>
      </c>
      <c r="M46" s="79"/>
    </row>
    <row r="47" spans="1:13" ht="12" customHeight="1">
      <c r="A47" s="86"/>
      <c r="B47" s="4" t="s">
        <v>35</v>
      </c>
      <c r="C47" s="5" t="s">
        <v>130</v>
      </c>
      <c r="D47" s="68" t="s">
        <v>129</v>
      </c>
      <c r="E47" s="3">
        <f t="shared" si="0"/>
        <v>6.000000000000001</v>
      </c>
      <c r="F47" s="3"/>
      <c r="G47" s="3">
        <f t="shared" si="2"/>
        <v>0.26300872991684204</v>
      </c>
      <c r="H47" s="3">
        <f t="shared" si="1"/>
        <v>-9.643274665532871E-16</v>
      </c>
      <c r="I47" s="71"/>
      <c r="J47" s="71"/>
      <c r="K47" s="71"/>
      <c r="L47" s="72">
        <v>0</v>
      </c>
      <c r="M47" s="79"/>
    </row>
    <row r="48" spans="1:13" ht="12" customHeight="1">
      <c r="A48" s="86"/>
      <c r="B48" s="4" t="s">
        <v>36</v>
      </c>
      <c r="C48" s="5" t="s">
        <v>130</v>
      </c>
      <c r="D48" s="68" t="s">
        <v>129</v>
      </c>
      <c r="E48" s="3">
        <f t="shared" si="0"/>
        <v>6.000000000000001</v>
      </c>
      <c r="F48" s="3"/>
      <c r="G48" s="3">
        <f t="shared" si="2"/>
        <v>0.19938979060626266</v>
      </c>
      <c r="H48" s="3">
        <f t="shared" si="1"/>
        <v>-4.3394735994897936E-15</v>
      </c>
      <c r="I48" s="71"/>
      <c r="J48" s="71"/>
      <c r="K48" s="71"/>
      <c r="L48" s="72">
        <v>0</v>
      </c>
      <c r="M48" s="79"/>
    </row>
    <row r="49" spans="1:13" ht="12" customHeight="1">
      <c r="A49" s="86"/>
      <c r="B49" s="4" t="s">
        <v>37</v>
      </c>
      <c r="C49" s="5" t="s">
        <v>130</v>
      </c>
      <c r="D49" s="68" t="s">
        <v>129</v>
      </c>
      <c r="E49" s="3">
        <f t="shared" si="0"/>
        <v>6</v>
      </c>
      <c r="F49" s="3"/>
      <c r="G49" s="3">
        <f t="shared" si="2"/>
        <v>0.12352884594851649</v>
      </c>
      <c r="H49" s="3">
        <f t="shared" si="1"/>
        <v>0</v>
      </c>
      <c r="I49" s="71"/>
      <c r="J49" s="71"/>
      <c r="K49" s="71"/>
      <c r="L49" s="72">
        <v>0</v>
      </c>
      <c r="M49" s="79"/>
    </row>
    <row r="50" spans="1:13" ht="12" customHeight="1">
      <c r="A50" s="86"/>
      <c r="B50" s="4" t="s">
        <v>38</v>
      </c>
      <c r="C50" s="5" t="s">
        <v>130</v>
      </c>
      <c r="D50" s="68" t="s">
        <v>129</v>
      </c>
      <c r="E50" s="3">
        <f t="shared" si="0"/>
        <v>6</v>
      </c>
      <c r="F50" s="3"/>
      <c r="G50" s="3">
        <f t="shared" si="2"/>
        <v>0.060288790630074876</v>
      </c>
      <c r="H50" s="3">
        <f t="shared" si="1"/>
        <v>-9.643274665532871E-16</v>
      </c>
      <c r="I50" s="71"/>
      <c r="J50" s="71"/>
      <c r="K50" s="71"/>
      <c r="L50" s="72">
        <v>0</v>
      </c>
      <c r="M50" s="79"/>
    </row>
    <row r="51" spans="1:13" ht="12" customHeight="1">
      <c r="A51" s="86"/>
      <c r="B51" s="4" t="s">
        <v>39</v>
      </c>
      <c r="C51" s="5" t="s">
        <v>130</v>
      </c>
      <c r="D51" s="68" t="s">
        <v>129</v>
      </c>
      <c r="E51" s="3">
        <f t="shared" si="0"/>
        <v>6</v>
      </c>
      <c r="F51" s="3"/>
      <c r="G51" s="3">
        <f t="shared" si="2"/>
        <v>0.02652246707579957</v>
      </c>
      <c r="H51" s="3">
        <f t="shared" si="1"/>
        <v>-4.821637332766436E-16</v>
      </c>
      <c r="I51" s="71"/>
      <c r="J51" s="71"/>
      <c r="K51" s="71"/>
      <c r="L51" s="72">
        <v>0</v>
      </c>
      <c r="M51" s="79"/>
    </row>
    <row r="52" spans="1:13" ht="12" customHeight="1">
      <c r="A52" s="87"/>
      <c r="B52" s="4" t="s">
        <v>40</v>
      </c>
      <c r="C52" s="5" t="s">
        <v>130</v>
      </c>
      <c r="D52" s="68" t="s">
        <v>129</v>
      </c>
      <c r="E52" s="3">
        <f t="shared" si="0"/>
        <v>5.999999999999997</v>
      </c>
      <c r="F52" s="3"/>
      <c r="G52" s="3">
        <f t="shared" si="2"/>
        <v>0.012737890603550468</v>
      </c>
      <c r="H52" s="3">
        <f t="shared" si="1"/>
        <v>1.928654933106574E-15</v>
      </c>
      <c r="I52" s="71"/>
      <c r="J52" s="71"/>
      <c r="K52" s="71"/>
      <c r="L52" s="72">
        <v>0</v>
      </c>
      <c r="M52" s="80"/>
    </row>
    <row r="53" spans="1:13" ht="12" customHeight="1">
      <c r="A53" s="81" t="s">
        <v>116</v>
      </c>
      <c r="B53" s="4">
        <v>20</v>
      </c>
      <c r="C53" s="5" t="s">
        <v>130</v>
      </c>
      <c r="D53" s="2" t="s">
        <v>128</v>
      </c>
      <c r="E53" s="7">
        <f>IF($H$17=0,0,E185)+E$22-$H$22+E$30+20*LOG(E119*E$28/((E97^2*E119^2+E$28^2*(E97-E119)^2)^0.5))+$I53</f>
        <v>-1.1117886941303746E-05</v>
      </c>
      <c r="F53" s="7">
        <f>IF($H$17=0,0,F185)+F$22-$H$22+F$30+20*LOG(((E141^2+E163^2)^0.5/(F141^2+(F163-1/F97)^2)^0.5)*(F$28*G119/(G97^2*G119^2+F$28^2*(G97-G119)^2)^0.5))+$J53</f>
        <v>-55.9176261408032</v>
      </c>
      <c r="G53" s="7">
        <f>IF($H$17=0,0,G185)+G$22-$H$22+G$30+20*LOG(((E141^2+E163^2)^0.5/(F141^2+(F163-1/F97)^2)^0.5)*(G$28*H97/(H97^2*H119^2+G$28^2*(H97-H119)^2)^0.5))+$K53</f>
        <v>-147.95884064068287</v>
      </c>
      <c r="H53" s="7">
        <f>20*LOG(((10^(E53/20)*COS(3.14159*E75/180)+10^(F53/20)*COS(3.14159*F75/180)+10^(G53/20)*COS(3.14159*G75/180))^2+(10^(E53/20)*SIN(3.14159*E75/180)+10^(F53/20)*SIN(3.14159*F75/180)+10^(G53/20)*SIN(3.14159*G75/180))^2)^0.5)+$L53</f>
        <v>0.013875176537746323</v>
      </c>
      <c r="I53" s="72">
        <v>0</v>
      </c>
      <c r="J53" s="72">
        <v>0</v>
      </c>
      <c r="K53" s="72">
        <v>0</v>
      </c>
      <c r="L53" s="72">
        <v>0</v>
      </c>
      <c r="M53" s="78" t="s">
        <v>216</v>
      </c>
    </row>
    <row r="54" spans="1:13" ht="12" customHeight="1">
      <c r="A54" s="82"/>
      <c r="B54" s="4">
        <v>30</v>
      </c>
      <c r="C54" s="5" t="s">
        <v>130</v>
      </c>
      <c r="D54" s="2" t="s">
        <v>128</v>
      </c>
      <c r="E54" s="7">
        <f aca="true" t="shared" si="3" ref="E54:E74">IF($H$17=0,0,E186)+E$22-$H$22+E$30+20*LOG(E120*E$28/((E98^2*E120^2+E$28^2*(E98-E120)^2)^0.5))+$I54</f>
        <v>-5.6284009970117395E-05</v>
      </c>
      <c r="F54" s="7">
        <f aca="true" t="shared" si="4" ref="F54:F74">IF($H$17=0,0,F186)+F$22-$H$22+F$30+20*LOG(((E142^2+E164^2)^0.5/(F142^2+(F164-1/F98)^2)^0.5)*(F$28*G120/(G98^2*G120^2+F$28^2*(G98-G120)^2)^0.5))+$J54</f>
        <v>-48.87402095572595</v>
      </c>
      <c r="G54" s="7">
        <f aca="true" t="shared" si="5" ref="G54:G74">IF($H$17=0,0,G186)+G$22-$H$22+G$30+20*LOG(((E142^2+E164^2)^0.5/(F142^2+(F164-1/F98)^2)^0.5)*(G$28*H98/(H98^2*H120^2+G$28^2*(H98-H120)^2)^0.5))+$K54</f>
        <v>-133.87158509337837</v>
      </c>
      <c r="H54" s="7">
        <f aca="true" t="shared" si="6" ref="H54:H74">20*LOG(((10^(E54/20)*COS(3.14159*E76/180)+10^(F54/20)*COS(3.14159*F76/180)+10^(G54/20)*COS(3.14159*G76/180))^2+(10^(E54/20)*SIN(3.14159*E76/180)+10^(F54/20)*SIN(3.14159*F76/180)+10^(G54/20)*SIN(3.14159*G76/180))^2)^0.5)+$L54</f>
        <v>0.03115672230019327</v>
      </c>
      <c r="I54" s="72">
        <v>0</v>
      </c>
      <c r="J54" s="72">
        <v>0</v>
      </c>
      <c r="K54" s="72">
        <v>0</v>
      </c>
      <c r="L54" s="72">
        <v>0</v>
      </c>
      <c r="M54" s="79"/>
    </row>
    <row r="55" spans="1:13" ht="12" customHeight="1">
      <c r="A55" s="82"/>
      <c r="B55" s="4">
        <v>40</v>
      </c>
      <c r="C55" s="5" t="s">
        <v>130</v>
      </c>
      <c r="D55" s="2" t="s">
        <v>128</v>
      </c>
      <c r="E55" s="7">
        <f t="shared" si="3"/>
        <v>-0.00017788277576548855</v>
      </c>
      <c r="F55" s="7">
        <f t="shared" si="4"/>
        <v>-43.876593119847755</v>
      </c>
      <c r="G55" s="7">
        <f t="shared" si="5"/>
        <v>-123.87660779316818</v>
      </c>
      <c r="H55" s="7">
        <f t="shared" si="6"/>
        <v>0.055234619973885186</v>
      </c>
      <c r="I55" s="72">
        <v>0</v>
      </c>
      <c r="J55" s="72">
        <v>0</v>
      </c>
      <c r="K55" s="72">
        <v>0</v>
      </c>
      <c r="L55" s="72">
        <v>0</v>
      </c>
      <c r="M55" s="79"/>
    </row>
    <row r="56" spans="1:13" ht="12" customHeight="1">
      <c r="A56" s="82"/>
      <c r="B56" s="4">
        <v>50</v>
      </c>
      <c r="C56" s="5" t="s">
        <v>130</v>
      </c>
      <c r="D56" s="2" t="s">
        <v>128</v>
      </c>
      <c r="E56" s="7">
        <f t="shared" si="3"/>
        <v>-0.0004342713014444864</v>
      </c>
      <c r="F56" s="7">
        <f t="shared" si="4"/>
        <v>-40.00044905065043</v>
      </c>
      <c r="G56" s="7">
        <f t="shared" si="5"/>
        <v>-116.1240632036486</v>
      </c>
      <c r="H56" s="7">
        <f t="shared" si="6"/>
        <v>0.08599318797822886</v>
      </c>
      <c r="I56" s="72">
        <v>0</v>
      </c>
      <c r="J56" s="72">
        <v>0</v>
      </c>
      <c r="K56" s="72">
        <v>0</v>
      </c>
      <c r="L56" s="72">
        <v>0</v>
      </c>
      <c r="M56" s="79"/>
    </row>
    <row r="57" spans="1:13" ht="12" customHeight="1">
      <c r="A57" s="82"/>
      <c r="B57" s="4">
        <v>70</v>
      </c>
      <c r="C57" s="5" t="s">
        <v>130</v>
      </c>
      <c r="D57" s="2" t="s">
        <v>128</v>
      </c>
      <c r="E57" s="7">
        <f t="shared" si="3"/>
        <v>-0.0016680596654786088</v>
      </c>
      <c r="F57" s="7">
        <f t="shared" si="4"/>
        <v>-34.156561713175705</v>
      </c>
      <c r="G57" s="7">
        <f t="shared" si="5"/>
        <v>-104.43505443904435</v>
      </c>
      <c r="H57" s="7">
        <f t="shared" si="6"/>
        <v>0.16692914654856916</v>
      </c>
      <c r="I57" s="72">
        <v>0</v>
      </c>
      <c r="J57" s="72">
        <v>0</v>
      </c>
      <c r="K57" s="72">
        <v>0</v>
      </c>
      <c r="L57" s="72">
        <v>0</v>
      </c>
      <c r="M57" s="79"/>
    </row>
    <row r="58" spans="1:13" ht="12" customHeight="1">
      <c r="A58" s="82"/>
      <c r="B58" s="4">
        <v>100</v>
      </c>
      <c r="C58" s="5" t="s">
        <v>130</v>
      </c>
      <c r="D58" s="2" t="s">
        <v>128</v>
      </c>
      <c r="E58" s="7">
        <f t="shared" si="3"/>
        <v>-0.006943135223775024</v>
      </c>
      <c r="F58" s="7">
        <f t="shared" si="4"/>
        <v>-27.965759678441703</v>
      </c>
      <c r="G58" s="7">
        <f t="shared" si="5"/>
        <v>-92.04817400488062</v>
      </c>
      <c r="H58" s="7">
        <f t="shared" si="6"/>
        <v>0.3337308663220198</v>
      </c>
      <c r="I58" s="72">
        <v>0</v>
      </c>
      <c r="J58" s="72">
        <v>0</v>
      </c>
      <c r="K58" s="72">
        <v>0</v>
      </c>
      <c r="L58" s="72">
        <v>0</v>
      </c>
      <c r="M58" s="79"/>
    </row>
    <row r="59" spans="1:13" ht="12" customHeight="1">
      <c r="A59" s="82"/>
      <c r="B59" s="4">
        <v>150</v>
      </c>
      <c r="C59" s="5" t="s">
        <v>130</v>
      </c>
      <c r="D59" s="2" t="s">
        <v>128</v>
      </c>
      <c r="E59" s="7">
        <f t="shared" si="3"/>
        <v>-0.03503602952664812</v>
      </c>
      <c r="F59" s="7">
        <f t="shared" si="4"/>
        <v>-20.95020910236609</v>
      </c>
      <c r="G59" s="7">
        <f t="shared" si="5"/>
        <v>-77.98897306657776</v>
      </c>
      <c r="H59" s="7">
        <f t="shared" si="6"/>
        <v>0.713573389582413</v>
      </c>
      <c r="I59" s="72">
        <v>0</v>
      </c>
      <c r="J59" s="72">
        <v>0</v>
      </c>
      <c r="K59" s="72">
        <v>0</v>
      </c>
      <c r="L59" s="72">
        <v>0</v>
      </c>
      <c r="M59" s="79"/>
    </row>
    <row r="60" spans="1:13" ht="12" customHeight="1">
      <c r="A60" s="82"/>
      <c r="B60" s="4">
        <v>200</v>
      </c>
      <c r="C60" s="5" t="s">
        <v>130</v>
      </c>
      <c r="D60" s="2" t="s">
        <v>128</v>
      </c>
      <c r="E60" s="7">
        <f t="shared" si="3"/>
        <v>-0.10977975548729688</v>
      </c>
      <c r="F60" s="7">
        <f t="shared" si="4"/>
        <v>-16.027421918917813</v>
      </c>
      <c r="G60" s="7">
        <f t="shared" si="5"/>
        <v>-68.06863641879748</v>
      </c>
      <c r="H60" s="7">
        <f t="shared" si="6"/>
        <v>1.1797781986590468</v>
      </c>
      <c r="I60" s="72">
        <v>0</v>
      </c>
      <c r="J60" s="72">
        <v>0</v>
      </c>
      <c r="K60" s="72">
        <v>0</v>
      </c>
      <c r="L60" s="72">
        <v>0</v>
      </c>
      <c r="M60" s="79"/>
    </row>
    <row r="61" spans="1:13" ht="12" customHeight="1">
      <c r="A61" s="82"/>
      <c r="B61" s="4">
        <v>300</v>
      </c>
      <c r="C61" s="5" t="s">
        <v>130</v>
      </c>
      <c r="D61" s="2" t="s">
        <v>128</v>
      </c>
      <c r="E61" s="7">
        <f t="shared" si="3"/>
        <v>-0.5292451535968644</v>
      </c>
      <c r="F61" s="7">
        <f t="shared" si="4"/>
        <v>-9.403347222421822</v>
      </c>
      <c r="G61" s="7">
        <f t="shared" si="5"/>
        <v>-54.40091136007424</v>
      </c>
      <c r="H61" s="7">
        <f t="shared" si="6"/>
        <v>2.1448442289394434</v>
      </c>
      <c r="I61" s="72">
        <v>0</v>
      </c>
      <c r="J61" s="72">
        <v>0</v>
      </c>
      <c r="K61" s="72">
        <v>0</v>
      </c>
      <c r="L61" s="72">
        <v>0</v>
      </c>
      <c r="M61" s="79"/>
    </row>
    <row r="62" spans="1:13" ht="12" customHeight="1">
      <c r="A62" s="82"/>
      <c r="B62" s="4">
        <v>400</v>
      </c>
      <c r="C62" s="5" t="s">
        <v>130</v>
      </c>
      <c r="D62" s="2" t="s">
        <v>128</v>
      </c>
      <c r="E62" s="7">
        <f t="shared" si="3"/>
        <v>-1.4909546469277113</v>
      </c>
      <c r="F62" s="7">
        <f t="shared" si="4"/>
        <v>-5.367804111871832</v>
      </c>
      <c r="G62" s="7">
        <f t="shared" si="5"/>
        <v>-45.367818785192256</v>
      </c>
      <c r="H62" s="7">
        <f t="shared" si="6"/>
        <v>2.8187108294959606</v>
      </c>
      <c r="I62" s="72">
        <v>0</v>
      </c>
      <c r="J62" s="72">
        <v>0</v>
      </c>
      <c r="K62" s="72">
        <v>0</v>
      </c>
      <c r="L62" s="72">
        <v>0</v>
      </c>
      <c r="M62" s="79"/>
    </row>
    <row r="63" spans="1:13" ht="12" customHeight="1">
      <c r="A63" s="82"/>
      <c r="B63" s="4">
        <v>500</v>
      </c>
      <c r="C63" s="5" t="s">
        <v>130</v>
      </c>
      <c r="D63" s="2" t="s">
        <v>128</v>
      </c>
      <c r="E63" s="7">
        <f t="shared" si="3"/>
        <v>-3.010292619985799</v>
      </c>
      <c r="F63" s="7">
        <f t="shared" si="4"/>
        <v>-3.011367449578431</v>
      </c>
      <c r="G63" s="7">
        <f t="shared" si="5"/>
        <v>-39.134981602576595</v>
      </c>
      <c r="H63" s="7">
        <f t="shared" si="6"/>
        <v>3.0430371511916343</v>
      </c>
      <c r="I63" s="72">
        <v>0</v>
      </c>
      <c r="J63" s="72">
        <v>0</v>
      </c>
      <c r="K63" s="72">
        <v>0</v>
      </c>
      <c r="L63" s="72">
        <v>0</v>
      </c>
      <c r="M63" s="79"/>
    </row>
    <row r="64" spans="1:13" ht="12" customHeight="1">
      <c r="A64" s="82"/>
      <c r="B64" s="4">
        <v>700</v>
      </c>
      <c r="C64" s="5" t="s">
        <v>130</v>
      </c>
      <c r="D64" s="2" t="s">
        <v>128</v>
      </c>
      <c r="E64" s="7">
        <f t="shared" si="3"/>
        <v>-6.849877420790462</v>
      </c>
      <c r="F64" s="7">
        <f t="shared" si="4"/>
        <v>-1.008841951545017</v>
      </c>
      <c r="G64" s="7">
        <f t="shared" si="5"/>
        <v>-31.287334677413664</v>
      </c>
      <c r="H64" s="7">
        <f t="shared" si="6"/>
        <v>2.6873865438263964</v>
      </c>
      <c r="I64" s="72">
        <v>0</v>
      </c>
      <c r="J64" s="72">
        <v>0</v>
      </c>
      <c r="K64" s="72">
        <v>0</v>
      </c>
      <c r="L64" s="72">
        <v>0</v>
      </c>
      <c r="M64" s="79"/>
    </row>
    <row r="65" spans="1:13" ht="12" customHeight="1">
      <c r="A65" s="82"/>
      <c r="B65" s="4" t="s">
        <v>31</v>
      </c>
      <c r="C65" s="5" t="s">
        <v>130</v>
      </c>
      <c r="D65" s="2" t="s">
        <v>128</v>
      </c>
      <c r="E65" s="7">
        <f t="shared" si="3"/>
        <v>-12.304475403600183</v>
      </c>
      <c r="F65" s="7">
        <f t="shared" si="4"/>
        <v>-0.2802217734612745</v>
      </c>
      <c r="G65" s="7">
        <f t="shared" si="5"/>
        <v>-24.362636099900193</v>
      </c>
      <c r="H65" s="7">
        <f t="shared" si="6"/>
        <v>1.9978695318820527</v>
      </c>
      <c r="I65" s="72">
        <v>0</v>
      </c>
      <c r="J65" s="72">
        <v>0</v>
      </c>
      <c r="K65" s="72">
        <v>0</v>
      </c>
      <c r="L65" s="72">
        <v>0</v>
      </c>
      <c r="M65" s="79"/>
    </row>
    <row r="66" spans="1:13" ht="12" customHeight="1">
      <c r="A66" s="82"/>
      <c r="B66" s="4" t="s">
        <v>32</v>
      </c>
      <c r="C66" s="5" t="s">
        <v>130</v>
      </c>
      <c r="D66" s="2" t="s">
        <v>128</v>
      </c>
      <c r="E66" s="7">
        <f t="shared" si="3"/>
        <v>-19.13812402945998</v>
      </c>
      <c r="F66" s="7">
        <f t="shared" si="4"/>
        <v>-0.13833350242416134</v>
      </c>
      <c r="G66" s="7">
        <f t="shared" si="5"/>
        <v>-17.177097466635825</v>
      </c>
      <c r="H66" s="7">
        <f t="shared" si="6"/>
        <v>1.7126744335103175</v>
      </c>
      <c r="I66" s="72">
        <v>0</v>
      </c>
      <c r="J66" s="72">
        <v>0</v>
      </c>
      <c r="K66" s="72">
        <v>0</v>
      </c>
      <c r="L66" s="72">
        <v>0</v>
      </c>
      <c r="M66" s="79"/>
    </row>
    <row r="67" spans="1:13" ht="12" customHeight="1">
      <c r="A67" s="82"/>
      <c r="B67" s="4" t="s">
        <v>33</v>
      </c>
      <c r="C67" s="5" t="s">
        <v>130</v>
      </c>
      <c r="D67" s="2" t="s">
        <v>128</v>
      </c>
      <c r="E67" s="7">
        <f t="shared" si="3"/>
        <v>-24.09931661708725</v>
      </c>
      <c r="F67" s="7">
        <f t="shared" si="4"/>
        <v>-0.28022016137754713</v>
      </c>
      <c r="G67" s="7">
        <f t="shared" si="5"/>
        <v>-12.321434661257218</v>
      </c>
      <c r="H67" s="7">
        <f t="shared" si="6"/>
        <v>1.9827806903241094</v>
      </c>
      <c r="I67" s="72">
        <v>0</v>
      </c>
      <c r="J67" s="72">
        <v>0</v>
      </c>
      <c r="K67" s="72">
        <v>0</v>
      </c>
      <c r="L67" s="72">
        <v>0</v>
      </c>
      <c r="M67" s="79"/>
    </row>
    <row r="68" spans="1:13" ht="12" customHeight="1">
      <c r="A68" s="82"/>
      <c r="B68" s="4" t="s">
        <v>34</v>
      </c>
      <c r="C68" s="5" t="s">
        <v>130</v>
      </c>
      <c r="D68" s="2" t="s">
        <v>128</v>
      </c>
      <c r="E68" s="7">
        <f t="shared" si="3"/>
        <v>-31.12938509883368</v>
      </c>
      <c r="F68" s="7">
        <f t="shared" si="4"/>
        <v>-1.1972455855859496</v>
      </c>
      <c r="G68" s="7">
        <f t="shared" si="5"/>
        <v>-6.194809723238366</v>
      </c>
      <c r="H68" s="7">
        <f t="shared" si="6"/>
        <v>2.747965818504079</v>
      </c>
      <c r="I68" s="72">
        <v>0</v>
      </c>
      <c r="J68" s="72">
        <v>0</v>
      </c>
      <c r="K68" s="72">
        <v>0</v>
      </c>
      <c r="L68" s="72">
        <v>0</v>
      </c>
      <c r="M68" s="79"/>
    </row>
    <row r="69" spans="1:13" ht="12" customHeight="1">
      <c r="A69" s="82"/>
      <c r="B69" s="4" t="s">
        <v>35</v>
      </c>
      <c r="C69" s="5" t="s">
        <v>130</v>
      </c>
      <c r="D69" s="2" t="s">
        <v>128</v>
      </c>
      <c r="E69" s="7">
        <f t="shared" si="3"/>
        <v>-36.124644969792485</v>
      </c>
      <c r="F69" s="7">
        <f t="shared" si="4"/>
        <v>-3.0113527834209637</v>
      </c>
      <c r="G69" s="7">
        <f t="shared" si="5"/>
        <v>-3.011367456741386</v>
      </c>
      <c r="H69" s="7">
        <f t="shared" si="6"/>
        <v>3.0097701492027666</v>
      </c>
      <c r="I69" s="72">
        <v>0</v>
      </c>
      <c r="J69" s="72">
        <v>0</v>
      </c>
      <c r="K69" s="72">
        <v>0</v>
      </c>
      <c r="L69" s="72">
        <v>0</v>
      </c>
      <c r="M69" s="79"/>
    </row>
    <row r="70" spans="1:13" ht="12" customHeight="1">
      <c r="A70" s="82"/>
      <c r="B70" s="4" t="s">
        <v>36</v>
      </c>
      <c r="C70" s="5" t="s">
        <v>130</v>
      </c>
      <c r="D70" s="2" t="s">
        <v>128</v>
      </c>
      <c r="E70" s="7">
        <f t="shared" si="3"/>
        <v>-40.00041960091539</v>
      </c>
      <c r="F70" s="7">
        <f t="shared" si="4"/>
        <v>-5.367783295679617</v>
      </c>
      <c r="G70" s="7">
        <f t="shared" si="5"/>
        <v>-1.4913974486777803</v>
      </c>
      <c r="H70" s="7">
        <f t="shared" si="6"/>
        <v>2.7866054173133397</v>
      </c>
      <c r="I70" s="72">
        <v>0</v>
      </c>
      <c r="J70" s="72">
        <v>0</v>
      </c>
      <c r="K70" s="72">
        <v>0</v>
      </c>
      <c r="L70" s="72">
        <v>0</v>
      </c>
      <c r="M70" s="79"/>
    </row>
    <row r="71" spans="1:13" ht="12" customHeight="1">
      <c r="A71" s="82"/>
      <c r="B71" s="4" t="s">
        <v>37</v>
      </c>
      <c r="C71" s="5" t="s">
        <v>130</v>
      </c>
      <c r="D71" s="2" t="s">
        <v>128</v>
      </c>
      <c r="E71" s="7">
        <f t="shared" si="3"/>
        <v>-45.845219803136665</v>
      </c>
      <c r="F71" s="7">
        <f t="shared" si="4"/>
        <v>-10.161615680757235</v>
      </c>
      <c r="G71" s="7">
        <f t="shared" si="5"/>
        <v>-0.4401084066258804</v>
      </c>
      <c r="H71" s="7">
        <f t="shared" si="6"/>
        <v>1.9917549916185653</v>
      </c>
      <c r="I71" s="72">
        <v>0</v>
      </c>
      <c r="J71" s="72">
        <v>0</v>
      </c>
      <c r="K71" s="72">
        <v>0</v>
      </c>
      <c r="L71" s="72">
        <v>0</v>
      </c>
      <c r="M71" s="79"/>
    </row>
    <row r="72" spans="1:13" ht="12" customHeight="1">
      <c r="A72" s="82"/>
      <c r="B72" s="4" t="s">
        <v>38</v>
      </c>
      <c r="C72" s="5" t="s">
        <v>130</v>
      </c>
      <c r="D72" s="2" t="s">
        <v>128</v>
      </c>
      <c r="E72" s="7">
        <f t="shared" si="3"/>
        <v>-52.04121229665083</v>
      </c>
      <c r="F72" s="7">
        <f t="shared" si="4"/>
        <v>-16.027393304981842</v>
      </c>
      <c r="G72" s="7">
        <f t="shared" si="5"/>
        <v>-0.10980763142075833</v>
      </c>
      <c r="H72" s="7">
        <f t="shared" si="6"/>
        <v>1.1636219546017579</v>
      </c>
      <c r="I72" s="72">
        <v>0</v>
      </c>
      <c r="J72" s="72">
        <v>0</v>
      </c>
      <c r="K72" s="72">
        <v>0</v>
      </c>
      <c r="L72" s="72">
        <v>0</v>
      </c>
      <c r="M72" s="79"/>
    </row>
    <row r="73" spans="1:13" ht="12" customHeight="1">
      <c r="A73" s="82"/>
      <c r="B73" s="4" t="s">
        <v>39</v>
      </c>
      <c r="C73" s="5" t="s">
        <v>130</v>
      </c>
      <c r="D73" s="2" t="s">
        <v>128</v>
      </c>
      <c r="E73" s="7">
        <f t="shared" si="3"/>
        <v>-59.084840877141154</v>
      </c>
      <c r="F73" s="7">
        <f t="shared" si="4"/>
        <v>-22.98314749124751</v>
      </c>
      <c r="G73" s="7">
        <f t="shared" si="5"/>
        <v>-0.02191145545917914</v>
      </c>
      <c r="H73" s="7">
        <f t="shared" si="6"/>
        <v>0.566407105340266</v>
      </c>
      <c r="I73" s="72">
        <v>0</v>
      </c>
      <c r="J73" s="72">
        <v>0</v>
      </c>
      <c r="K73" s="72">
        <v>0</v>
      </c>
      <c r="L73" s="72">
        <v>0</v>
      </c>
      <c r="M73" s="79"/>
    </row>
    <row r="74" spans="1:13" ht="12" customHeight="1">
      <c r="A74" s="83"/>
      <c r="B74" s="4" t="s">
        <v>40</v>
      </c>
      <c r="C74" s="5" t="s">
        <v>130</v>
      </c>
      <c r="D74" s="2" t="s">
        <v>128</v>
      </c>
      <c r="E74" s="7">
        <f t="shared" si="3"/>
        <v>-64.0823866762663</v>
      </c>
      <c r="F74" s="7">
        <f t="shared" si="4"/>
        <v>-27.965730378691944</v>
      </c>
      <c r="G74" s="7">
        <f t="shared" si="5"/>
        <v>-0.006944878571612145</v>
      </c>
      <c r="H74" s="7">
        <f t="shared" si="6"/>
        <v>0.32871005692072236</v>
      </c>
      <c r="I74" s="72">
        <v>0</v>
      </c>
      <c r="J74" s="72">
        <v>0</v>
      </c>
      <c r="K74" s="72">
        <v>0</v>
      </c>
      <c r="L74" s="72">
        <v>0</v>
      </c>
      <c r="M74" s="80"/>
    </row>
    <row r="75" spans="1:8" ht="12" customHeight="1">
      <c r="A75" s="81" t="s">
        <v>117</v>
      </c>
      <c r="B75" s="4">
        <v>20</v>
      </c>
      <c r="C75" s="5" t="s">
        <v>130</v>
      </c>
      <c r="D75" s="2" t="s">
        <v>124</v>
      </c>
      <c r="E75" s="6">
        <f>IF($H$17=0,0,E207)+180/PI()*ATAN2((E$28*(E97-E119)),E97*E119)-180</f>
        <v>-3.242862942089374</v>
      </c>
      <c r="F75" s="6">
        <f>IF($H$17=0,0,F207)+0*IF(E141*F141+E163*F163-E163/F97=0,-90,IF(E141*F141+E163*F163-E163/F97&lt;0,0,-180))+0*IF(G97-G119=0,90,IF(G97-G119&lt;0,0,180))+180/PI()*(ATAN2((E141*F141+E163*F163-E163/F97),(E163*F141-F163*E141+E141/F97))+ATAN2((F$28*(G97-G119)),G97*G119))-360</f>
        <v>-3.6480083182779595</v>
      </c>
      <c r="G75" s="6">
        <f>IF($H$17=0,0,G207)+0*IF(E141*F141+E163*F163-E163/F97=0,-90,IF(E141*F141+E163*F163-E163/F97&lt;0,180,0))+0*IF(H97-H119=0,90,IF(H97-H119&lt;0,180,0))+180/PI()*(ATAN2((E141*F141+E163*F163-E163/F97),(E163*F141-F163*E141+E141/F97))+ATAN2((G$28*(H97-H119)),H97*H119))-360</f>
        <v>-3.6480083182779595</v>
      </c>
      <c r="H75" s="6">
        <f>180/PI()*ATAN2((10^(E53/20)*COS(PI()*E75/180)+10^(F53/20)*COS(PI()*F75/180)+10^(G53/20)*COS(PI()*G75/180)),(10^(E53/20)*SIN(PI()*E75/180)+10^(F53/20)*SIN(PI()*F75/180)+10^(G53/20)*SIN(PI()*G75/180)))</f>
        <v>-3.2435101488704987</v>
      </c>
    </row>
    <row r="76" spans="1:8" ht="12" customHeight="1">
      <c r="A76" s="82"/>
      <c r="B76" s="4">
        <v>30</v>
      </c>
      <c r="C76" s="5" t="s">
        <v>130</v>
      </c>
      <c r="D76" s="2" t="s">
        <v>124</v>
      </c>
      <c r="E76" s="6">
        <f aca="true" t="shared" si="7" ref="E76:E96">IF($H$17=0,0,E208)+180/PI()*ATAN2((E$28*(E98-E120)),E98*E120)-180</f>
        <v>-4.8675254018774865</v>
      </c>
      <c r="F76" s="6">
        <f aca="true" t="shared" si="8" ref="F76:F96">IF($H$17=0,0,F208)+0*IF(E142*F142+E164*F164-E164/F98=0,-90,IF(E142*F142+E164*F164-E164/F98&lt;0,0,-180))+0*IF(G98-G120=0,90,IF(G98-G120&lt;0,0,180))+180/PI()*(ATAN2((E142*F142+E164*F164-E164/F98),(E164*F142-F164*E142+E142/F98))+ATAN2((F$28*(G98-G120)),G98*G120))-360</f>
        <v>-5.475249796184812</v>
      </c>
      <c r="G76" s="6">
        <f aca="true" t="shared" si="9" ref="G76:G96">IF($H$17=0,0,G208)+0*IF(E142*F142+E164*F164-E164/F98=0,-90,IF(E142*F142+E164*F164-E164/F98&lt;0,180,0))+0*IF(H98-H120=0,90,IF(H98-H120&lt;0,180,0))+180/PI()*(ATAN2((E142*F142+E164*F164-E164/F98),(E164*F142-F164*E142+E142/F98))+ATAN2((G$28*(H98-H120)),H98*H120))-360</f>
        <v>-5.475249796184812</v>
      </c>
      <c r="H76" s="6">
        <f aca="true" t="shared" si="10" ref="H76:H96">180/PI()*ATAN2((10^(E54/20)*COS(PI()*E76/180)+10^(F54/20)*COS(PI()*F76/180)+10^(G54/20)*COS(PI()*G76/180)),(10^(E54/20)*SIN(PI()*E76/180)+10^(F54/20)*SIN(PI()*F76/180)+10^(G54/20)*SIN(PI()*G76/180)))</f>
        <v>-4.869705439911838</v>
      </c>
    </row>
    <row r="77" spans="1:8" ht="12" customHeight="1">
      <c r="A77" s="82"/>
      <c r="B77" s="4">
        <v>40</v>
      </c>
      <c r="C77" s="5" t="s">
        <v>130</v>
      </c>
      <c r="D77" s="2" t="s">
        <v>124</v>
      </c>
      <c r="E77" s="6">
        <f t="shared" si="7"/>
        <v>-6.4960474804271655</v>
      </c>
      <c r="F77" s="6">
        <f t="shared" si="8"/>
        <v>-7.306358488350725</v>
      </c>
      <c r="G77" s="6">
        <f t="shared" si="9"/>
        <v>-7.306358488350725</v>
      </c>
      <c r="H77" s="6">
        <f t="shared" si="10"/>
        <v>-6.501200826423571</v>
      </c>
    </row>
    <row r="78" spans="1:8" ht="12" customHeight="1">
      <c r="A78" s="82"/>
      <c r="B78" s="4">
        <v>50</v>
      </c>
      <c r="C78" s="5" t="s">
        <v>130</v>
      </c>
      <c r="D78" s="2" t="s">
        <v>124</v>
      </c>
      <c r="E78" s="6">
        <f t="shared" si="7"/>
        <v>-8.1296862175559</v>
      </c>
      <c r="F78" s="6">
        <f t="shared" si="8"/>
        <v>-9.14259396553922</v>
      </c>
      <c r="G78" s="6">
        <f t="shared" si="9"/>
        <v>-9.14259396553922</v>
      </c>
      <c r="H78" s="6">
        <f t="shared" si="10"/>
        <v>-8.1397160346799</v>
      </c>
    </row>
    <row r="79" spans="1:8" ht="12" customHeight="1">
      <c r="A79" s="82"/>
      <c r="B79" s="4">
        <v>70</v>
      </c>
      <c r="C79" s="5" t="s">
        <v>130</v>
      </c>
      <c r="D79" s="2" t="s">
        <v>124</v>
      </c>
      <c r="E79" s="6">
        <f t="shared" si="7"/>
        <v>-11.417206262530073</v>
      </c>
      <c r="F79" s="6">
        <f t="shared" si="8"/>
        <v>-12.835347989757338</v>
      </c>
      <c r="G79" s="6">
        <f t="shared" si="9"/>
        <v>-12.835347989757338</v>
      </c>
      <c r="H79" s="6">
        <f t="shared" si="10"/>
        <v>-11.444473035821852</v>
      </c>
    </row>
    <row r="80" spans="1:8" ht="12" customHeight="1">
      <c r="A80" s="82"/>
      <c r="B80" s="4">
        <v>100</v>
      </c>
      <c r="C80" s="5" t="s">
        <v>130</v>
      </c>
      <c r="D80" s="2" t="s">
        <v>124</v>
      </c>
      <c r="E80" s="6">
        <f t="shared" si="7"/>
        <v>-16.4164261604285</v>
      </c>
      <c r="F80" s="6">
        <f t="shared" si="8"/>
        <v>-18.44255802461163</v>
      </c>
      <c r="G80" s="6">
        <f t="shared" si="9"/>
        <v>-18.44255802461163</v>
      </c>
      <c r="H80" s="6">
        <f t="shared" si="10"/>
        <v>-16.494386575528416</v>
      </c>
    </row>
    <row r="81" spans="1:8" ht="12" customHeight="1">
      <c r="A81" s="82"/>
      <c r="B81" s="4">
        <v>150</v>
      </c>
      <c r="C81" s="5" t="s">
        <v>130</v>
      </c>
      <c r="D81" s="2" t="s">
        <v>124</v>
      </c>
      <c r="E81" s="6">
        <f t="shared" si="7"/>
        <v>-24.996052348814914</v>
      </c>
      <c r="F81" s="6">
        <f t="shared" si="8"/>
        <v>-28.036040471236788</v>
      </c>
      <c r="G81" s="6">
        <f t="shared" si="9"/>
        <v>-28.036040471236788</v>
      </c>
      <c r="H81" s="6">
        <f t="shared" si="10"/>
        <v>-25.247293436871846</v>
      </c>
    </row>
    <row r="82" spans="1:8" ht="12" customHeight="1">
      <c r="A82" s="82"/>
      <c r="B82" s="4">
        <v>200</v>
      </c>
      <c r="C82" s="5" t="s">
        <v>130</v>
      </c>
      <c r="D82" s="2" t="s">
        <v>124</v>
      </c>
      <c r="E82" s="6">
        <f t="shared" si="7"/>
        <v>-33.957674524320936</v>
      </c>
      <c r="F82" s="6">
        <f t="shared" si="8"/>
        <v>-38.01246562928378</v>
      </c>
      <c r="G82" s="6">
        <f t="shared" si="9"/>
        <v>-38.01246562928378</v>
      </c>
      <c r="H82" s="6">
        <f t="shared" si="10"/>
        <v>-34.51786691290898</v>
      </c>
    </row>
    <row r="83" spans="1:8" ht="12" customHeight="1">
      <c r="A83" s="82"/>
      <c r="B83" s="4">
        <v>300</v>
      </c>
      <c r="C83" s="5" t="s">
        <v>130</v>
      </c>
      <c r="D83" s="2" t="s">
        <v>124</v>
      </c>
      <c r="E83" s="6">
        <f t="shared" si="7"/>
        <v>-52.97462709140457</v>
      </c>
      <c r="F83" s="6">
        <f t="shared" si="8"/>
        <v>-59.06311308128852</v>
      </c>
      <c r="G83" s="6">
        <f t="shared" si="9"/>
        <v>-59.06311308128852</v>
      </c>
      <c r="H83" s="6">
        <f t="shared" si="10"/>
        <v>-54.59187207224264</v>
      </c>
    </row>
    <row r="84" spans="1:8" ht="12" customHeight="1">
      <c r="A84" s="82"/>
      <c r="B84" s="4">
        <v>400</v>
      </c>
      <c r="C84" s="5" t="s">
        <v>130</v>
      </c>
      <c r="D84" s="2" t="s">
        <v>124</v>
      </c>
      <c r="E84" s="6">
        <f t="shared" si="7"/>
        <v>-72.34896748512955</v>
      </c>
      <c r="F84" s="6">
        <f t="shared" si="8"/>
        <v>-80.47865370268545</v>
      </c>
      <c r="G84" s="6">
        <f t="shared" si="9"/>
        <v>-80.47865370268545</v>
      </c>
      <c r="H84" s="6">
        <f t="shared" si="10"/>
        <v>-75.53929752329617</v>
      </c>
    </row>
    <row r="85" spans="1:8" ht="12" customHeight="1">
      <c r="A85" s="82"/>
      <c r="B85" s="4">
        <v>500</v>
      </c>
      <c r="C85" s="5" t="s">
        <v>130</v>
      </c>
      <c r="D85" s="2" t="s">
        <v>124</v>
      </c>
      <c r="E85" s="6">
        <f t="shared" si="7"/>
        <v>-89.99993155815176</v>
      </c>
      <c r="F85" s="6">
        <f t="shared" si="8"/>
        <v>-100.18073432706228</v>
      </c>
      <c r="G85" s="6">
        <f t="shared" si="9"/>
        <v>-100.18073432706228</v>
      </c>
      <c r="H85" s="6">
        <f t="shared" si="10"/>
        <v>-95.12958173272663</v>
      </c>
    </row>
    <row r="86" spans="1:8" ht="12" customHeight="1">
      <c r="A86" s="82"/>
      <c r="B86" s="4">
        <v>700</v>
      </c>
      <c r="C86" s="5" t="s">
        <v>130</v>
      </c>
      <c r="D86" s="2" t="s">
        <v>124</v>
      </c>
      <c r="E86" s="6">
        <f t="shared" si="7"/>
        <v>-115.86744574061677</v>
      </c>
      <c r="F86" s="6">
        <f t="shared" si="8"/>
        <v>-130.18945275121513</v>
      </c>
      <c r="G86" s="6">
        <f t="shared" si="9"/>
        <v>-130.18945275121513</v>
      </c>
      <c r="H86" s="6">
        <f t="shared" si="10"/>
        <v>-125.45682316340923</v>
      </c>
    </row>
    <row r="87" spans="1:8" ht="12" customHeight="1">
      <c r="A87" s="82"/>
      <c r="B87" s="4" t="s">
        <v>21</v>
      </c>
      <c r="C87" s="5" t="s">
        <v>130</v>
      </c>
      <c r="D87" s="2" t="s">
        <v>124</v>
      </c>
      <c r="E87" s="6">
        <f t="shared" si="7"/>
        <v>-136.6861030817864</v>
      </c>
      <c r="F87" s="6">
        <f t="shared" si="8"/>
        <v>-157.34872897744958</v>
      </c>
      <c r="G87" s="6">
        <f t="shared" si="9"/>
        <v>-157.34872897744958</v>
      </c>
      <c r="H87" s="6">
        <f t="shared" si="10"/>
        <v>-153.4497697494676</v>
      </c>
    </row>
    <row r="88" spans="1:8" ht="12" customHeight="1">
      <c r="A88" s="82"/>
      <c r="B88" s="4" t="s">
        <v>22</v>
      </c>
      <c r="C88" s="5" t="s">
        <v>130</v>
      </c>
      <c r="D88" s="2" t="s">
        <v>124</v>
      </c>
      <c r="E88" s="6">
        <f t="shared" si="7"/>
        <v>-152.0616222306849</v>
      </c>
      <c r="F88" s="6">
        <f t="shared" si="8"/>
        <v>-183.74080084348137</v>
      </c>
      <c r="G88" s="6">
        <f t="shared" si="9"/>
        <v>-183.74080084348137</v>
      </c>
      <c r="H88" s="6">
        <f t="shared" si="10"/>
        <v>178.98843217107034</v>
      </c>
    </row>
    <row r="89" spans="1:8" ht="12" customHeight="1">
      <c r="A89" s="82"/>
      <c r="B89" s="4" t="s">
        <v>23</v>
      </c>
      <c r="C89" s="5" t="s">
        <v>130</v>
      </c>
      <c r="D89" s="2" t="s">
        <v>124</v>
      </c>
      <c r="E89" s="6">
        <f t="shared" si="7"/>
        <v>-159.33733788608248</v>
      </c>
      <c r="F89" s="6">
        <f t="shared" si="8"/>
        <v>-202.65115428447464</v>
      </c>
      <c r="G89" s="6">
        <f t="shared" si="9"/>
        <v>-202.65115428447464</v>
      </c>
      <c r="H89" s="6">
        <f t="shared" si="10"/>
        <v>159.30058578943675</v>
      </c>
    </row>
    <row r="90" spans="1:8" ht="12" customHeight="1">
      <c r="A90" s="82"/>
      <c r="B90" s="4" t="s">
        <v>24</v>
      </c>
      <c r="C90" s="5" t="s">
        <v>130</v>
      </c>
      <c r="D90" s="2" t="s">
        <v>124</v>
      </c>
      <c r="E90" s="6">
        <f t="shared" si="7"/>
        <v>-166.37232411290552</v>
      </c>
      <c r="F90" s="6">
        <f t="shared" si="8"/>
        <v>-233.95714613172964</v>
      </c>
      <c r="G90" s="6">
        <f t="shared" si="9"/>
        <v>-233.95714613172964</v>
      </c>
      <c r="H90" s="6">
        <f t="shared" si="10"/>
        <v>127.1147717903627</v>
      </c>
    </row>
    <row r="91" spans="1:8" ht="12" customHeight="1">
      <c r="A91" s="82"/>
      <c r="B91" s="4" t="s">
        <v>25</v>
      </c>
      <c r="C91" s="5" t="s">
        <v>130</v>
      </c>
      <c r="D91" s="2" t="s">
        <v>124</v>
      </c>
      <c r="E91" s="6">
        <f t="shared" si="7"/>
        <v>-169.81917985751804</v>
      </c>
      <c r="F91" s="6">
        <f t="shared" si="8"/>
        <v>-259.8191114156698</v>
      </c>
      <c r="G91" s="6">
        <f t="shared" si="9"/>
        <v>-259.8191114156698</v>
      </c>
      <c r="H91" s="6">
        <f t="shared" si="10"/>
        <v>100.8138987986785</v>
      </c>
    </row>
    <row r="92" spans="1:8" ht="12" customHeight="1">
      <c r="A92" s="82"/>
      <c r="B92" s="4" t="s">
        <v>26</v>
      </c>
      <c r="C92" s="5" t="s">
        <v>130</v>
      </c>
      <c r="D92" s="2" t="s">
        <v>124</v>
      </c>
      <c r="E92" s="6">
        <f t="shared" si="7"/>
        <v>-171.87029995857313</v>
      </c>
      <c r="F92" s="6">
        <f t="shared" si="8"/>
        <v>-279.5212050675059</v>
      </c>
      <c r="G92" s="6">
        <f t="shared" si="9"/>
        <v>-279.5212050675059</v>
      </c>
      <c r="H92" s="6">
        <f t="shared" si="10"/>
        <v>80.87491973805223</v>
      </c>
    </row>
    <row r="93" spans="1:8" ht="12" customHeight="1">
      <c r="A93" s="82"/>
      <c r="B93" s="4" t="s">
        <v>27</v>
      </c>
      <c r="C93" s="5" t="s">
        <v>130</v>
      </c>
      <c r="D93" s="2" t="s">
        <v>124</v>
      </c>
      <c r="E93" s="6">
        <f t="shared" si="7"/>
        <v>-174.20243447268027</v>
      </c>
      <c r="F93" s="6">
        <f t="shared" si="8"/>
        <v>-304.0093962826132</v>
      </c>
      <c r="G93" s="6">
        <f t="shared" si="9"/>
        <v>-304.0093962826132</v>
      </c>
      <c r="H93" s="6">
        <f t="shared" si="10"/>
        <v>56.16915054834893</v>
      </c>
    </row>
    <row r="94" spans="1:8" ht="12" customHeight="1">
      <c r="A94" s="82"/>
      <c r="B94" s="4" t="s">
        <v>28</v>
      </c>
      <c r="C94" s="5" t="s">
        <v>130</v>
      </c>
      <c r="D94" s="2" t="s">
        <v>124</v>
      </c>
      <c r="E94" s="6">
        <f t="shared" si="7"/>
        <v>-175.9452020337848</v>
      </c>
      <c r="F94" s="6">
        <f t="shared" si="8"/>
        <v>-321.9874655808024</v>
      </c>
      <c r="G94" s="6">
        <f t="shared" si="9"/>
        <v>-321.9874655808024</v>
      </c>
      <c r="H94" s="6">
        <f t="shared" si="10"/>
        <v>38.08251335932647</v>
      </c>
    </row>
    <row r="95" spans="1:8" ht="12" customHeight="1">
      <c r="A95" s="82"/>
      <c r="B95" s="4" t="s">
        <v>29</v>
      </c>
      <c r="C95" s="5" t="s">
        <v>130</v>
      </c>
      <c r="D95" s="2" t="s">
        <v>124</v>
      </c>
      <c r="E95" s="6">
        <f t="shared" si="7"/>
        <v>-177.29804908356812</v>
      </c>
      <c r="F95" s="6">
        <f t="shared" si="8"/>
        <v>-335.20115636484695</v>
      </c>
      <c r="G95" s="6">
        <f t="shared" si="9"/>
        <v>-335.20115636484695</v>
      </c>
      <c r="H95" s="6">
        <f t="shared" si="10"/>
        <v>24.821279821426685</v>
      </c>
    </row>
    <row r="96" spans="1:8" ht="12" customHeight="1">
      <c r="A96" s="83"/>
      <c r="B96" s="4" t="s">
        <v>30</v>
      </c>
      <c r="C96" s="5" t="s">
        <v>130</v>
      </c>
      <c r="D96" s="2" t="s">
        <v>124</v>
      </c>
      <c r="E96" s="6">
        <f t="shared" si="7"/>
        <v>-177.973864711587</v>
      </c>
      <c r="F96" s="6">
        <f t="shared" si="8"/>
        <v>-341.55741012483173</v>
      </c>
      <c r="G96" s="6">
        <f t="shared" si="9"/>
        <v>-341.55741012483173</v>
      </c>
      <c r="H96" s="6">
        <f t="shared" si="10"/>
        <v>18.45233451965145</v>
      </c>
    </row>
    <row r="97" spans="1:13" ht="12" customHeight="1">
      <c r="A97" s="81" t="s">
        <v>118</v>
      </c>
      <c r="B97" s="4">
        <v>20</v>
      </c>
      <c r="C97" s="5" t="s">
        <v>130</v>
      </c>
      <c r="D97" s="2" t="s">
        <v>127</v>
      </c>
      <c r="E97" s="6">
        <f aca="true" t="shared" si="11" ref="E97:H118">2*3.14159*$B97*E$18*0.001</f>
        <v>0.3394109682811204</v>
      </c>
      <c r="F97" s="6">
        <f t="shared" si="11"/>
        <v>0.3394109682811204</v>
      </c>
      <c r="G97" s="6">
        <f t="shared" si="11"/>
        <v>0.04242637103514005</v>
      </c>
      <c r="H97" s="6">
        <f t="shared" si="11"/>
        <v>0.04242637103514005</v>
      </c>
      <c r="J97" s="10"/>
      <c r="K97" s="10"/>
      <c r="L97" s="10"/>
      <c r="M97" s="10"/>
    </row>
    <row r="98" spans="1:8" ht="12" customHeight="1">
      <c r="A98" s="82"/>
      <c r="B98" s="4">
        <v>30</v>
      </c>
      <c r="C98" s="5" t="s">
        <v>130</v>
      </c>
      <c r="D98" s="2" t="s">
        <v>127</v>
      </c>
      <c r="E98" s="6">
        <f t="shared" si="11"/>
        <v>0.5091164524216806</v>
      </c>
      <c r="F98" s="6">
        <f t="shared" si="11"/>
        <v>0.5091164524216806</v>
      </c>
      <c r="G98" s="6">
        <f t="shared" si="11"/>
        <v>0.06363955655271007</v>
      </c>
      <c r="H98" s="6">
        <f t="shared" si="11"/>
        <v>0.06363955655271007</v>
      </c>
    </row>
    <row r="99" spans="1:8" ht="12" customHeight="1">
      <c r="A99" s="82"/>
      <c r="B99" s="4">
        <v>40</v>
      </c>
      <c r="C99" s="5" t="s">
        <v>130</v>
      </c>
      <c r="D99" s="2" t="s">
        <v>127</v>
      </c>
      <c r="E99" s="6">
        <f t="shared" si="11"/>
        <v>0.6788219365622408</v>
      </c>
      <c r="F99" s="6">
        <f t="shared" si="11"/>
        <v>0.6788219365622408</v>
      </c>
      <c r="G99" s="6">
        <f t="shared" si="11"/>
        <v>0.0848527420702801</v>
      </c>
      <c r="H99" s="6">
        <f t="shared" si="11"/>
        <v>0.0848527420702801</v>
      </c>
    </row>
    <row r="100" spans="1:8" ht="12" customHeight="1">
      <c r="A100" s="82"/>
      <c r="B100" s="4">
        <v>50</v>
      </c>
      <c r="C100" s="5" t="s">
        <v>130</v>
      </c>
      <c r="D100" s="2" t="s">
        <v>127</v>
      </c>
      <c r="E100" s="6">
        <f t="shared" si="11"/>
        <v>0.8485274207028011</v>
      </c>
      <c r="F100" s="6">
        <f t="shared" si="11"/>
        <v>0.8485274207028011</v>
      </c>
      <c r="G100" s="6">
        <f t="shared" si="11"/>
        <v>0.10606592758785013</v>
      </c>
      <c r="H100" s="6">
        <f t="shared" si="11"/>
        <v>0.10606592758785013</v>
      </c>
    </row>
    <row r="101" spans="1:8" ht="12" customHeight="1">
      <c r="A101" s="82"/>
      <c r="B101" s="4">
        <v>70</v>
      </c>
      <c r="C101" s="5" t="s">
        <v>130</v>
      </c>
      <c r="D101" s="2" t="s">
        <v>127</v>
      </c>
      <c r="E101" s="6">
        <f t="shared" si="11"/>
        <v>1.1879383889839215</v>
      </c>
      <c r="F101" s="6">
        <f t="shared" si="11"/>
        <v>1.1879383889839215</v>
      </c>
      <c r="G101" s="6">
        <f t="shared" si="11"/>
        <v>0.14849229862299018</v>
      </c>
      <c r="H101" s="6">
        <f t="shared" si="11"/>
        <v>0.14849229862299018</v>
      </c>
    </row>
    <row r="102" spans="1:8" ht="12" customHeight="1">
      <c r="A102" s="82"/>
      <c r="B102" s="4">
        <v>100</v>
      </c>
      <c r="C102" s="5" t="s">
        <v>130</v>
      </c>
      <c r="D102" s="2" t="s">
        <v>127</v>
      </c>
      <c r="E102" s="6">
        <f t="shared" si="11"/>
        <v>1.6970548414056021</v>
      </c>
      <c r="F102" s="6">
        <f t="shared" si="11"/>
        <v>1.6970548414056021</v>
      </c>
      <c r="G102" s="6">
        <f t="shared" si="11"/>
        <v>0.21213185517570027</v>
      </c>
      <c r="H102" s="6">
        <f t="shared" si="11"/>
        <v>0.21213185517570027</v>
      </c>
    </row>
    <row r="103" spans="1:8" ht="12" customHeight="1">
      <c r="A103" s="82"/>
      <c r="B103" s="4">
        <v>150</v>
      </c>
      <c r="C103" s="5" t="s">
        <v>130</v>
      </c>
      <c r="D103" s="2" t="s">
        <v>127</v>
      </c>
      <c r="E103" s="6">
        <f t="shared" si="11"/>
        <v>2.545582262108403</v>
      </c>
      <c r="F103" s="6">
        <f t="shared" si="11"/>
        <v>2.545582262108403</v>
      </c>
      <c r="G103" s="6">
        <f t="shared" si="11"/>
        <v>0.3181977827635504</v>
      </c>
      <c r="H103" s="6">
        <f t="shared" si="11"/>
        <v>0.3181977827635504</v>
      </c>
    </row>
    <row r="104" spans="1:8" ht="12" customHeight="1">
      <c r="A104" s="82"/>
      <c r="B104" s="4">
        <v>200</v>
      </c>
      <c r="C104" s="5" t="s">
        <v>130</v>
      </c>
      <c r="D104" s="2" t="s">
        <v>127</v>
      </c>
      <c r="E104" s="6">
        <f t="shared" si="11"/>
        <v>3.3941096828112043</v>
      </c>
      <c r="F104" s="6">
        <f t="shared" si="11"/>
        <v>3.3941096828112043</v>
      </c>
      <c r="G104" s="6">
        <f t="shared" si="11"/>
        <v>0.42426371035140054</v>
      </c>
      <c r="H104" s="6">
        <f t="shared" si="11"/>
        <v>0.42426371035140054</v>
      </c>
    </row>
    <row r="105" spans="1:8" ht="12" customHeight="1">
      <c r="A105" s="82"/>
      <c r="B105" s="4">
        <v>300</v>
      </c>
      <c r="C105" s="5" t="s">
        <v>130</v>
      </c>
      <c r="D105" s="2" t="s">
        <v>127</v>
      </c>
      <c r="E105" s="6">
        <f t="shared" si="11"/>
        <v>5.091164524216806</v>
      </c>
      <c r="F105" s="6">
        <f t="shared" si="11"/>
        <v>5.091164524216806</v>
      </c>
      <c r="G105" s="6">
        <f t="shared" si="11"/>
        <v>0.6363955655271007</v>
      </c>
      <c r="H105" s="6">
        <f t="shared" si="11"/>
        <v>0.6363955655271007</v>
      </c>
    </row>
    <row r="106" spans="1:8" ht="12" customHeight="1">
      <c r="A106" s="82"/>
      <c r="B106" s="4">
        <v>400</v>
      </c>
      <c r="C106" s="5" t="s">
        <v>130</v>
      </c>
      <c r="D106" s="2" t="s">
        <v>127</v>
      </c>
      <c r="E106" s="6">
        <f t="shared" si="11"/>
        <v>6.788219365622409</v>
      </c>
      <c r="F106" s="6">
        <f t="shared" si="11"/>
        <v>6.788219365622409</v>
      </c>
      <c r="G106" s="6">
        <f t="shared" si="11"/>
        <v>0.8485274207028011</v>
      </c>
      <c r="H106" s="6">
        <f t="shared" si="11"/>
        <v>0.8485274207028011</v>
      </c>
    </row>
    <row r="107" spans="1:8" ht="12" customHeight="1">
      <c r="A107" s="82"/>
      <c r="B107" s="4">
        <v>500</v>
      </c>
      <c r="C107" s="5" t="s">
        <v>130</v>
      </c>
      <c r="D107" s="2" t="s">
        <v>127</v>
      </c>
      <c r="E107" s="6">
        <f t="shared" si="11"/>
        <v>8.48527420702801</v>
      </c>
      <c r="F107" s="6">
        <f t="shared" si="11"/>
        <v>8.48527420702801</v>
      </c>
      <c r="G107" s="6">
        <f t="shared" si="11"/>
        <v>1.0606592758785012</v>
      </c>
      <c r="H107" s="6">
        <f t="shared" si="11"/>
        <v>1.0606592758785012</v>
      </c>
    </row>
    <row r="108" spans="1:8" ht="12" customHeight="1">
      <c r="A108" s="82"/>
      <c r="B108" s="4">
        <v>700</v>
      </c>
      <c r="C108" s="5" t="s">
        <v>130</v>
      </c>
      <c r="D108" s="2" t="s">
        <v>127</v>
      </c>
      <c r="E108" s="6">
        <f t="shared" si="11"/>
        <v>11.879383889839213</v>
      </c>
      <c r="F108" s="6">
        <f t="shared" si="11"/>
        <v>11.879383889839213</v>
      </c>
      <c r="G108" s="6">
        <f t="shared" si="11"/>
        <v>1.4849229862299016</v>
      </c>
      <c r="H108" s="6">
        <f t="shared" si="11"/>
        <v>1.4849229862299016</v>
      </c>
    </row>
    <row r="109" spans="1:8" ht="12" customHeight="1">
      <c r="A109" s="82"/>
      <c r="B109" s="4">
        <v>1000</v>
      </c>
      <c r="C109" s="5" t="s">
        <v>130</v>
      </c>
      <c r="D109" s="2" t="s">
        <v>127</v>
      </c>
      <c r="E109" s="6">
        <f t="shared" si="11"/>
        <v>16.97054841405602</v>
      </c>
      <c r="F109" s="6">
        <f t="shared" si="11"/>
        <v>16.97054841405602</v>
      </c>
      <c r="G109" s="6">
        <f t="shared" si="11"/>
        <v>2.1213185517570023</v>
      </c>
      <c r="H109" s="6">
        <f t="shared" si="11"/>
        <v>2.1213185517570023</v>
      </c>
    </row>
    <row r="110" spans="1:8" ht="12" customHeight="1">
      <c r="A110" s="82"/>
      <c r="B110" s="4">
        <v>1500</v>
      </c>
      <c r="C110" s="5" t="s">
        <v>130</v>
      </c>
      <c r="D110" s="2" t="s">
        <v>127</v>
      </c>
      <c r="E110" s="6">
        <f t="shared" si="11"/>
        <v>25.455822621084035</v>
      </c>
      <c r="F110" s="6">
        <f t="shared" si="11"/>
        <v>25.455822621084035</v>
      </c>
      <c r="G110" s="6">
        <f t="shared" si="11"/>
        <v>3.1819778276355044</v>
      </c>
      <c r="H110" s="6">
        <f t="shared" si="11"/>
        <v>3.1819778276355044</v>
      </c>
    </row>
    <row r="111" spans="1:8" ht="12" customHeight="1">
      <c r="A111" s="82"/>
      <c r="B111" s="4">
        <v>2000</v>
      </c>
      <c r="C111" s="5" t="s">
        <v>130</v>
      </c>
      <c r="D111" s="2" t="s">
        <v>127</v>
      </c>
      <c r="E111" s="6">
        <f t="shared" si="11"/>
        <v>33.94109682811204</v>
      </c>
      <c r="F111" s="6">
        <f t="shared" si="11"/>
        <v>33.94109682811204</v>
      </c>
      <c r="G111" s="6">
        <f t="shared" si="11"/>
        <v>4.242637103514005</v>
      </c>
      <c r="H111" s="6">
        <f t="shared" si="11"/>
        <v>4.242637103514005</v>
      </c>
    </row>
    <row r="112" spans="1:8" ht="12" customHeight="1">
      <c r="A112" s="82"/>
      <c r="B112" s="4">
        <v>3000</v>
      </c>
      <c r="C112" s="5" t="s">
        <v>130</v>
      </c>
      <c r="D112" s="2" t="s">
        <v>127</v>
      </c>
      <c r="E112" s="6">
        <f t="shared" si="11"/>
        <v>50.91164524216807</v>
      </c>
      <c r="F112" s="6">
        <f t="shared" si="11"/>
        <v>50.91164524216807</v>
      </c>
      <c r="G112" s="6">
        <f t="shared" si="11"/>
        <v>6.363955655271009</v>
      </c>
      <c r="H112" s="6">
        <f t="shared" si="11"/>
        <v>6.363955655271009</v>
      </c>
    </row>
    <row r="113" spans="1:8" ht="12" customHeight="1">
      <c r="A113" s="82"/>
      <c r="B113" s="4">
        <v>4000</v>
      </c>
      <c r="C113" s="5" t="s">
        <v>130</v>
      </c>
      <c r="D113" s="2" t="s">
        <v>127</v>
      </c>
      <c r="E113" s="6">
        <f t="shared" si="11"/>
        <v>67.88219365622408</v>
      </c>
      <c r="F113" s="6">
        <f t="shared" si="11"/>
        <v>67.88219365622408</v>
      </c>
      <c r="G113" s="6">
        <f t="shared" si="11"/>
        <v>8.48527420702801</v>
      </c>
      <c r="H113" s="6">
        <f t="shared" si="11"/>
        <v>8.48527420702801</v>
      </c>
    </row>
    <row r="114" spans="1:8" ht="12" customHeight="1">
      <c r="A114" s="82"/>
      <c r="B114" s="4">
        <v>5000</v>
      </c>
      <c r="C114" s="5" t="s">
        <v>130</v>
      </c>
      <c r="D114" s="2" t="s">
        <v>127</v>
      </c>
      <c r="E114" s="6">
        <f t="shared" si="11"/>
        <v>84.8527420702801</v>
      </c>
      <c r="F114" s="6">
        <f t="shared" si="11"/>
        <v>84.8527420702801</v>
      </c>
      <c r="G114" s="6">
        <f t="shared" si="11"/>
        <v>10.606592758785013</v>
      </c>
      <c r="H114" s="6">
        <f t="shared" si="11"/>
        <v>10.606592758785013</v>
      </c>
    </row>
    <row r="115" spans="1:8" ht="12" customHeight="1">
      <c r="A115" s="82"/>
      <c r="B115" s="4">
        <v>7000</v>
      </c>
      <c r="C115" s="5" t="s">
        <v>130</v>
      </c>
      <c r="D115" s="2" t="s">
        <v>127</v>
      </c>
      <c r="E115" s="6">
        <f t="shared" si="11"/>
        <v>118.79383889839214</v>
      </c>
      <c r="F115" s="6">
        <f t="shared" si="11"/>
        <v>118.79383889839214</v>
      </c>
      <c r="G115" s="6">
        <f t="shared" si="11"/>
        <v>14.849229862299017</v>
      </c>
      <c r="H115" s="6">
        <f t="shared" si="11"/>
        <v>14.849229862299017</v>
      </c>
    </row>
    <row r="116" spans="1:8" ht="12" customHeight="1">
      <c r="A116" s="82"/>
      <c r="B116" s="4">
        <v>10000</v>
      </c>
      <c r="C116" s="5" t="s">
        <v>130</v>
      </c>
      <c r="D116" s="2" t="s">
        <v>127</v>
      </c>
      <c r="E116" s="6">
        <f t="shared" si="11"/>
        <v>169.7054841405602</v>
      </c>
      <c r="F116" s="6">
        <f t="shared" si="11"/>
        <v>169.7054841405602</v>
      </c>
      <c r="G116" s="6">
        <f t="shared" si="11"/>
        <v>21.213185517570025</v>
      </c>
      <c r="H116" s="6">
        <f t="shared" si="11"/>
        <v>21.213185517570025</v>
      </c>
    </row>
    <row r="117" spans="1:8" ht="12" customHeight="1">
      <c r="A117" s="82"/>
      <c r="B117" s="4">
        <v>15000</v>
      </c>
      <c r="C117" s="5" t="s">
        <v>130</v>
      </c>
      <c r="D117" s="2" t="s">
        <v>127</v>
      </c>
      <c r="E117" s="6">
        <f t="shared" si="11"/>
        <v>254.5582262108403</v>
      </c>
      <c r="F117" s="6">
        <f t="shared" si="11"/>
        <v>254.5582262108403</v>
      </c>
      <c r="G117" s="6">
        <f t="shared" si="11"/>
        <v>31.819778276355038</v>
      </c>
      <c r="H117" s="6">
        <f t="shared" si="11"/>
        <v>31.819778276355038</v>
      </c>
    </row>
    <row r="118" spans="1:8" ht="12" customHeight="1">
      <c r="A118" s="83"/>
      <c r="B118" s="4">
        <v>20000</v>
      </c>
      <c r="C118" s="5" t="s">
        <v>130</v>
      </c>
      <c r="D118" s="2" t="s">
        <v>127</v>
      </c>
      <c r="E118" s="6">
        <f t="shared" si="11"/>
        <v>339.4109682811204</v>
      </c>
      <c r="F118" s="6">
        <f t="shared" si="11"/>
        <v>339.4109682811204</v>
      </c>
      <c r="G118" s="6">
        <f t="shared" si="11"/>
        <v>42.42637103514005</v>
      </c>
      <c r="H118" s="6">
        <f t="shared" si="11"/>
        <v>42.42637103514005</v>
      </c>
    </row>
    <row r="119" spans="1:13" ht="12" customHeight="1">
      <c r="A119" s="81" t="s">
        <v>119</v>
      </c>
      <c r="B119" s="4">
        <v>20</v>
      </c>
      <c r="C119" s="5" t="s">
        <v>130</v>
      </c>
      <c r="D119" s="2" t="s">
        <v>127</v>
      </c>
      <c r="E119" s="6">
        <f aca="true" t="shared" si="12" ref="E119:H140">1/(2*3.14159*$B97*E$19/1000000)</f>
        <v>212.13221353637965</v>
      </c>
      <c r="F119" s="6">
        <f t="shared" si="12"/>
        <v>212.13221353637965</v>
      </c>
      <c r="G119" s="6">
        <f t="shared" si="12"/>
        <v>1697.0577082910372</v>
      </c>
      <c r="H119" s="6">
        <f t="shared" si="12"/>
        <v>1697.0577082910372</v>
      </c>
      <c r="J119" s="10"/>
      <c r="K119" s="10"/>
      <c r="L119" s="10"/>
      <c r="M119" s="10"/>
    </row>
    <row r="120" spans="1:8" ht="12" customHeight="1">
      <c r="A120" s="82"/>
      <c r="B120" s="4">
        <v>30</v>
      </c>
      <c r="C120" s="5" t="s">
        <v>130</v>
      </c>
      <c r="D120" s="2" t="s">
        <v>127</v>
      </c>
      <c r="E120" s="6">
        <f t="shared" si="12"/>
        <v>141.42147569091975</v>
      </c>
      <c r="F120" s="6">
        <f t="shared" si="12"/>
        <v>141.42147569091975</v>
      </c>
      <c r="G120" s="6">
        <f t="shared" si="12"/>
        <v>1131.371805527358</v>
      </c>
      <c r="H120" s="6">
        <f t="shared" si="12"/>
        <v>1131.371805527358</v>
      </c>
    </row>
    <row r="121" spans="1:8" ht="12" customHeight="1">
      <c r="A121" s="82"/>
      <c r="B121" s="4">
        <v>40</v>
      </c>
      <c r="C121" s="5" t="s">
        <v>130</v>
      </c>
      <c r="D121" s="2" t="s">
        <v>127</v>
      </c>
      <c r="E121" s="6">
        <f t="shared" si="12"/>
        <v>106.06610676818983</v>
      </c>
      <c r="F121" s="6">
        <f t="shared" si="12"/>
        <v>106.06610676818983</v>
      </c>
      <c r="G121" s="6">
        <f t="shared" si="12"/>
        <v>848.5288541455186</v>
      </c>
      <c r="H121" s="6">
        <f t="shared" si="12"/>
        <v>848.5288541455186</v>
      </c>
    </row>
    <row r="122" spans="1:8" ht="12" customHeight="1">
      <c r="A122" s="82"/>
      <c r="B122" s="4">
        <v>50</v>
      </c>
      <c r="C122" s="5" t="s">
        <v>130</v>
      </c>
      <c r="D122" s="2" t="s">
        <v>127</v>
      </c>
      <c r="E122" s="6">
        <f t="shared" si="12"/>
        <v>84.85288541455186</v>
      </c>
      <c r="F122" s="6">
        <f t="shared" si="12"/>
        <v>84.85288541455186</v>
      </c>
      <c r="G122" s="6">
        <f t="shared" si="12"/>
        <v>678.8230833164149</v>
      </c>
      <c r="H122" s="6">
        <f t="shared" si="12"/>
        <v>678.8230833164149</v>
      </c>
    </row>
    <row r="123" spans="1:8" ht="12" customHeight="1">
      <c r="A123" s="82"/>
      <c r="B123" s="4">
        <v>70</v>
      </c>
      <c r="C123" s="5" t="s">
        <v>130</v>
      </c>
      <c r="D123" s="2" t="s">
        <v>127</v>
      </c>
      <c r="E123" s="6">
        <f t="shared" si="12"/>
        <v>60.60920386753705</v>
      </c>
      <c r="F123" s="6">
        <f t="shared" si="12"/>
        <v>60.60920386753705</v>
      </c>
      <c r="G123" s="6">
        <f t="shared" si="12"/>
        <v>484.8736309402964</v>
      </c>
      <c r="H123" s="6">
        <f t="shared" si="12"/>
        <v>484.8736309402964</v>
      </c>
    </row>
    <row r="124" spans="1:8" ht="12" customHeight="1">
      <c r="A124" s="82"/>
      <c r="B124" s="4">
        <v>100</v>
      </c>
      <c r="C124" s="5" t="s">
        <v>130</v>
      </c>
      <c r="D124" s="2" t="s">
        <v>127</v>
      </c>
      <c r="E124" s="6">
        <f t="shared" si="12"/>
        <v>42.42644270727593</v>
      </c>
      <c r="F124" s="6">
        <f t="shared" si="12"/>
        <v>42.42644270727593</v>
      </c>
      <c r="G124" s="6">
        <f t="shared" si="12"/>
        <v>339.41154165820745</v>
      </c>
      <c r="H124" s="6">
        <f t="shared" si="12"/>
        <v>339.41154165820745</v>
      </c>
    </row>
    <row r="125" spans="1:8" ht="12" customHeight="1">
      <c r="A125" s="82"/>
      <c r="B125" s="4">
        <v>150</v>
      </c>
      <c r="C125" s="5" t="s">
        <v>130</v>
      </c>
      <c r="D125" s="2" t="s">
        <v>127</v>
      </c>
      <c r="E125" s="6">
        <f t="shared" si="12"/>
        <v>28.284295138183953</v>
      </c>
      <c r="F125" s="6">
        <f t="shared" si="12"/>
        <v>28.284295138183953</v>
      </c>
      <c r="G125" s="6">
        <f t="shared" si="12"/>
        <v>226.27436110547163</v>
      </c>
      <c r="H125" s="6">
        <f t="shared" si="12"/>
        <v>226.27436110547163</v>
      </c>
    </row>
    <row r="126" spans="1:8" ht="12" customHeight="1">
      <c r="A126" s="82"/>
      <c r="B126" s="4">
        <v>200</v>
      </c>
      <c r="C126" s="5" t="s">
        <v>130</v>
      </c>
      <c r="D126" s="2" t="s">
        <v>127</v>
      </c>
      <c r="E126" s="6">
        <f t="shared" si="12"/>
        <v>21.213221353637966</v>
      </c>
      <c r="F126" s="6">
        <f t="shared" si="12"/>
        <v>21.213221353637966</v>
      </c>
      <c r="G126" s="6">
        <f t="shared" si="12"/>
        <v>169.70577082910373</v>
      </c>
      <c r="H126" s="6">
        <f t="shared" si="12"/>
        <v>169.70577082910373</v>
      </c>
    </row>
    <row r="127" spans="1:8" ht="12" customHeight="1">
      <c r="A127" s="82"/>
      <c r="B127" s="4">
        <v>300</v>
      </c>
      <c r="C127" s="5" t="s">
        <v>130</v>
      </c>
      <c r="D127" s="2" t="s">
        <v>127</v>
      </c>
      <c r="E127" s="6">
        <f t="shared" si="12"/>
        <v>14.142147569091977</v>
      </c>
      <c r="F127" s="6">
        <f t="shared" si="12"/>
        <v>14.142147569091977</v>
      </c>
      <c r="G127" s="6">
        <f t="shared" si="12"/>
        <v>113.13718055273581</v>
      </c>
      <c r="H127" s="6">
        <f t="shared" si="12"/>
        <v>113.13718055273581</v>
      </c>
    </row>
    <row r="128" spans="1:8" ht="12" customHeight="1">
      <c r="A128" s="82"/>
      <c r="B128" s="4">
        <v>400</v>
      </c>
      <c r="C128" s="5" t="s">
        <v>130</v>
      </c>
      <c r="D128" s="2" t="s">
        <v>127</v>
      </c>
      <c r="E128" s="6">
        <f t="shared" si="12"/>
        <v>10.606610676818983</v>
      </c>
      <c r="F128" s="6">
        <f t="shared" si="12"/>
        <v>10.606610676818983</v>
      </c>
      <c r="G128" s="6">
        <f t="shared" si="12"/>
        <v>84.85288541455186</v>
      </c>
      <c r="H128" s="6">
        <f t="shared" si="12"/>
        <v>84.85288541455186</v>
      </c>
    </row>
    <row r="129" spans="1:8" ht="12" customHeight="1">
      <c r="A129" s="82"/>
      <c r="B129" s="4">
        <v>500</v>
      </c>
      <c r="C129" s="5" t="s">
        <v>130</v>
      </c>
      <c r="D129" s="2" t="s">
        <v>127</v>
      </c>
      <c r="E129" s="6">
        <f t="shared" si="12"/>
        <v>8.485288541455187</v>
      </c>
      <c r="F129" s="6">
        <f t="shared" si="12"/>
        <v>8.485288541455187</v>
      </c>
      <c r="G129" s="6">
        <f t="shared" si="12"/>
        <v>67.8823083316415</v>
      </c>
      <c r="H129" s="6">
        <f t="shared" si="12"/>
        <v>67.8823083316415</v>
      </c>
    </row>
    <row r="130" spans="1:8" ht="12" customHeight="1">
      <c r="A130" s="82"/>
      <c r="B130" s="4">
        <v>700</v>
      </c>
      <c r="C130" s="5" t="s">
        <v>130</v>
      </c>
      <c r="D130" s="2" t="s">
        <v>127</v>
      </c>
      <c r="E130" s="6">
        <f t="shared" si="12"/>
        <v>6.060920386753705</v>
      </c>
      <c r="F130" s="6">
        <f t="shared" si="12"/>
        <v>6.060920386753705</v>
      </c>
      <c r="G130" s="6">
        <f t="shared" si="12"/>
        <v>48.48736309402964</v>
      </c>
      <c r="H130" s="6">
        <f t="shared" si="12"/>
        <v>48.48736309402964</v>
      </c>
    </row>
    <row r="131" spans="1:8" ht="12" customHeight="1">
      <c r="A131" s="82"/>
      <c r="B131" s="4">
        <v>1000</v>
      </c>
      <c r="C131" s="5" t="s">
        <v>130</v>
      </c>
      <c r="D131" s="2" t="s">
        <v>127</v>
      </c>
      <c r="E131" s="6">
        <f t="shared" si="12"/>
        <v>4.2426442707275935</v>
      </c>
      <c r="F131" s="6">
        <f t="shared" si="12"/>
        <v>4.2426442707275935</v>
      </c>
      <c r="G131" s="6">
        <f t="shared" si="12"/>
        <v>33.94115416582075</v>
      </c>
      <c r="H131" s="6">
        <f t="shared" si="12"/>
        <v>33.94115416582075</v>
      </c>
    </row>
    <row r="132" spans="1:8" ht="12" customHeight="1">
      <c r="A132" s="82"/>
      <c r="B132" s="4">
        <v>1500</v>
      </c>
      <c r="C132" s="5" t="s">
        <v>130</v>
      </c>
      <c r="D132" s="2" t="s">
        <v>127</v>
      </c>
      <c r="E132" s="6">
        <f t="shared" si="12"/>
        <v>2.828429513818395</v>
      </c>
      <c r="F132" s="6">
        <f t="shared" si="12"/>
        <v>2.828429513818395</v>
      </c>
      <c r="G132" s="6">
        <f t="shared" si="12"/>
        <v>22.62743611054716</v>
      </c>
      <c r="H132" s="6">
        <f t="shared" si="12"/>
        <v>22.62743611054716</v>
      </c>
    </row>
    <row r="133" spans="1:8" ht="12" customHeight="1">
      <c r="A133" s="82"/>
      <c r="B133" s="4">
        <v>2000</v>
      </c>
      <c r="C133" s="5" t="s">
        <v>130</v>
      </c>
      <c r="D133" s="2" t="s">
        <v>127</v>
      </c>
      <c r="E133" s="6">
        <f t="shared" si="12"/>
        <v>2.1213221353637968</v>
      </c>
      <c r="F133" s="6">
        <f t="shared" si="12"/>
        <v>2.1213221353637968</v>
      </c>
      <c r="G133" s="6">
        <f t="shared" si="12"/>
        <v>16.970577082910374</v>
      </c>
      <c r="H133" s="6">
        <f t="shared" si="12"/>
        <v>16.970577082910374</v>
      </c>
    </row>
    <row r="134" spans="1:8" ht="12" customHeight="1">
      <c r="A134" s="82"/>
      <c r="B134" s="4">
        <v>3000</v>
      </c>
      <c r="C134" s="5" t="s">
        <v>130</v>
      </c>
      <c r="D134" s="2" t="s">
        <v>127</v>
      </c>
      <c r="E134" s="6">
        <f t="shared" si="12"/>
        <v>1.4142147569091974</v>
      </c>
      <c r="F134" s="6">
        <f t="shared" si="12"/>
        <v>1.4142147569091974</v>
      </c>
      <c r="G134" s="6">
        <f t="shared" si="12"/>
        <v>11.31371805527358</v>
      </c>
      <c r="H134" s="6">
        <f t="shared" si="12"/>
        <v>11.31371805527358</v>
      </c>
    </row>
    <row r="135" spans="1:8" ht="12" customHeight="1">
      <c r="A135" s="82"/>
      <c r="B135" s="4">
        <v>4000</v>
      </c>
      <c r="C135" s="5" t="s">
        <v>130</v>
      </c>
      <c r="D135" s="2" t="s">
        <v>127</v>
      </c>
      <c r="E135" s="6">
        <f t="shared" si="12"/>
        <v>1.0606610676818984</v>
      </c>
      <c r="F135" s="6">
        <f t="shared" si="12"/>
        <v>1.0606610676818984</v>
      </c>
      <c r="G135" s="6">
        <f t="shared" si="12"/>
        <v>8.485288541455187</v>
      </c>
      <c r="H135" s="6">
        <f t="shared" si="12"/>
        <v>8.485288541455187</v>
      </c>
    </row>
    <row r="136" spans="1:8" ht="12" customHeight="1">
      <c r="A136" s="82"/>
      <c r="B136" s="4">
        <v>5000</v>
      </c>
      <c r="C136" s="5" t="s">
        <v>130</v>
      </c>
      <c r="D136" s="2" t="s">
        <v>127</v>
      </c>
      <c r="E136" s="6">
        <f t="shared" si="12"/>
        <v>0.8485288541455186</v>
      </c>
      <c r="F136" s="6">
        <f t="shared" si="12"/>
        <v>0.8485288541455186</v>
      </c>
      <c r="G136" s="6">
        <f t="shared" si="12"/>
        <v>6.788230833164149</v>
      </c>
      <c r="H136" s="6">
        <f t="shared" si="12"/>
        <v>6.788230833164149</v>
      </c>
    </row>
    <row r="137" spans="1:8" ht="12" customHeight="1">
      <c r="A137" s="82"/>
      <c r="B137" s="4">
        <v>7000</v>
      </c>
      <c r="C137" s="5" t="s">
        <v>130</v>
      </c>
      <c r="D137" s="2" t="s">
        <v>127</v>
      </c>
      <c r="E137" s="6">
        <f t="shared" si="12"/>
        <v>0.6060920386753704</v>
      </c>
      <c r="F137" s="6">
        <f t="shared" si="12"/>
        <v>0.6060920386753704</v>
      </c>
      <c r="G137" s="6">
        <f t="shared" si="12"/>
        <v>4.848736309402963</v>
      </c>
      <c r="H137" s="6">
        <f t="shared" si="12"/>
        <v>4.848736309402963</v>
      </c>
    </row>
    <row r="138" spans="1:8" ht="12" customHeight="1">
      <c r="A138" s="82"/>
      <c r="B138" s="4">
        <v>10000</v>
      </c>
      <c r="C138" s="5" t="s">
        <v>130</v>
      </c>
      <c r="D138" s="2" t="s">
        <v>127</v>
      </c>
      <c r="E138" s="6">
        <f t="shared" si="12"/>
        <v>0.4242644270727593</v>
      </c>
      <c r="F138" s="6">
        <f t="shared" si="12"/>
        <v>0.4242644270727593</v>
      </c>
      <c r="G138" s="6">
        <f t="shared" si="12"/>
        <v>3.3941154165820744</v>
      </c>
      <c r="H138" s="6">
        <f t="shared" si="12"/>
        <v>3.3941154165820744</v>
      </c>
    </row>
    <row r="139" spans="1:8" ht="12" customHeight="1">
      <c r="A139" s="82"/>
      <c r="B139" s="4">
        <v>15000</v>
      </c>
      <c r="C139" s="5" t="s">
        <v>130</v>
      </c>
      <c r="D139" s="2" t="s">
        <v>127</v>
      </c>
      <c r="E139" s="6">
        <f t="shared" si="12"/>
        <v>0.2828429513818395</v>
      </c>
      <c r="F139" s="6">
        <f t="shared" si="12"/>
        <v>0.2828429513818395</v>
      </c>
      <c r="G139" s="6">
        <f t="shared" si="12"/>
        <v>2.262743611054716</v>
      </c>
      <c r="H139" s="6">
        <f t="shared" si="12"/>
        <v>2.262743611054716</v>
      </c>
    </row>
    <row r="140" spans="1:8" ht="12" customHeight="1">
      <c r="A140" s="83"/>
      <c r="B140" s="4">
        <v>20000</v>
      </c>
      <c r="C140" s="5" t="s">
        <v>130</v>
      </c>
      <c r="D140" s="2" t="s">
        <v>127</v>
      </c>
      <c r="E140" s="6">
        <f t="shared" si="12"/>
        <v>0.21213221353637965</v>
      </c>
      <c r="F140" s="6">
        <f t="shared" si="12"/>
        <v>0.21213221353637965</v>
      </c>
      <c r="G140" s="6">
        <f t="shared" si="12"/>
        <v>1.6970577082910372</v>
      </c>
      <c r="H140" s="6">
        <f t="shared" si="12"/>
        <v>1.6970577082910372</v>
      </c>
    </row>
    <row r="141" spans="1:13" ht="12" customHeight="1">
      <c r="A141" s="81" t="s">
        <v>120</v>
      </c>
      <c r="B141" s="4">
        <v>20</v>
      </c>
      <c r="C141" s="5" t="s">
        <v>130</v>
      </c>
      <c r="D141" s="67" t="s">
        <v>126</v>
      </c>
      <c r="E141" s="6">
        <f>(F97*F119*F141*(1-G97*F163)+F97^2*F141-F97*F119*F141*(1-F97*F163))/(F97^2*F119^2*F141^2+(F97-F119*(1-F97*F163))^2)</f>
        <v>4.26664132852335E-07</v>
      </c>
      <c r="F141" s="7">
        <f>F$28*G119^2/(G97^2*G119^2+F$28^2*(G97-G119)^2)+G$28*H97^2/(H97^2*H119^2+G$28^2*(H97-H119)^2)</f>
        <v>0.16666666666666669</v>
      </c>
      <c r="G141" s="7"/>
      <c r="H141" s="6">
        <f>E$28*E119^2/(E97^2*E119^2+E$28^2*(E97-E119)^2)+E141</f>
        <v>0.16666666666666669</v>
      </c>
      <c r="J141" s="10"/>
      <c r="K141" s="10"/>
      <c r="L141" s="10"/>
      <c r="M141" s="10"/>
    </row>
    <row r="142" spans="1:8" ht="12" customHeight="1">
      <c r="A142" s="82"/>
      <c r="B142" s="4">
        <v>30</v>
      </c>
      <c r="C142" s="5" t="s">
        <v>130</v>
      </c>
      <c r="D142" s="67" t="s">
        <v>126</v>
      </c>
      <c r="E142" s="6">
        <f aca="true" t="shared" si="13" ref="E142:E162">(F98*F120*F142*(1-G98*F164)+F98^2*F142-F98*F120*F142*(1-F98*F164))/(F98^2*F120^2*F142^2+(F98-F120*(1-F98*F164))^2)</f>
        <v>2.1599647090653976E-06</v>
      </c>
      <c r="F142" s="7">
        <f aca="true" t="shared" si="14" ref="F142:F162">F$28*G120^2/(G98^2*G120^2+F$28^2*(G98-G120)^2)+G$28*H98^2/(H98^2*H120^2+G$28^2*(H98-H120)^2)</f>
        <v>0.1666666666666667</v>
      </c>
      <c r="G142" s="7"/>
      <c r="H142" s="6">
        <f aca="true" t="shared" si="15" ref="H142:H162">E$28*E120^2/(E98^2*E120^2+E$28^2*(E98-E120)^2)+E142</f>
        <v>0.16666666666666669</v>
      </c>
    </row>
    <row r="143" spans="1:8" ht="12" customHeight="1">
      <c r="A143" s="82"/>
      <c r="B143" s="4">
        <v>40</v>
      </c>
      <c r="C143" s="5" t="s">
        <v>130</v>
      </c>
      <c r="D143" s="67" t="s">
        <v>126</v>
      </c>
      <c r="E143" s="6">
        <f t="shared" si="13"/>
        <v>6.826363994816823E-06</v>
      </c>
      <c r="F143" s="7">
        <f t="shared" si="14"/>
        <v>0.1666666666666667</v>
      </c>
      <c r="G143" s="7"/>
      <c r="H143" s="6">
        <f t="shared" si="15"/>
        <v>0.16666666666666669</v>
      </c>
    </row>
    <row r="144" spans="1:8" ht="12" customHeight="1">
      <c r="A144" s="82"/>
      <c r="B144" s="4">
        <v>50</v>
      </c>
      <c r="C144" s="5" t="s">
        <v>130</v>
      </c>
      <c r="D144" s="67" t="s">
        <v>126</v>
      </c>
      <c r="E144" s="6">
        <f t="shared" si="13"/>
        <v>1.6664943867057566E-05</v>
      </c>
      <c r="F144" s="7">
        <f t="shared" si="14"/>
        <v>0.16666666666666669</v>
      </c>
      <c r="G144" s="7"/>
      <c r="H144" s="6">
        <f t="shared" si="15"/>
        <v>0.16666666666666666</v>
      </c>
    </row>
    <row r="145" spans="1:8" ht="12" customHeight="1">
      <c r="A145" s="82"/>
      <c r="B145" s="4">
        <v>70</v>
      </c>
      <c r="C145" s="5" t="s">
        <v>130</v>
      </c>
      <c r="D145" s="67" t="s">
        <v>126</v>
      </c>
      <c r="E145" s="6">
        <f t="shared" si="13"/>
        <v>6.400186347009416E-05</v>
      </c>
      <c r="F145" s="7">
        <f t="shared" si="14"/>
        <v>0.1666666666666667</v>
      </c>
      <c r="G145" s="7"/>
      <c r="H145" s="6">
        <f t="shared" si="15"/>
        <v>0.16666666666666666</v>
      </c>
    </row>
    <row r="146" spans="1:8" ht="12" customHeight="1">
      <c r="A146" s="82"/>
      <c r="B146" s="4">
        <v>100</v>
      </c>
      <c r="C146" s="5" t="s">
        <v>130</v>
      </c>
      <c r="D146" s="67" t="s">
        <v>126</v>
      </c>
      <c r="E146" s="6">
        <f t="shared" si="13"/>
        <v>0.0002662397834787036</v>
      </c>
      <c r="F146" s="7">
        <f t="shared" si="14"/>
        <v>0.16666666666666669</v>
      </c>
      <c r="G146" s="7"/>
      <c r="H146" s="6">
        <f t="shared" si="15"/>
        <v>0.16666666666666666</v>
      </c>
    </row>
    <row r="147" spans="1:8" ht="12" customHeight="1">
      <c r="A147" s="82"/>
      <c r="B147" s="4">
        <v>150</v>
      </c>
      <c r="C147" s="5" t="s">
        <v>130</v>
      </c>
      <c r="D147" s="67" t="s">
        <v>126</v>
      </c>
      <c r="E147" s="6">
        <f t="shared" si="13"/>
        <v>0.001339148373642974</v>
      </c>
      <c r="F147" s="7">
        <f t="shared" si="14"/>
        <v>0.16666666666666669</v>
      </c>
      <c r="G147" s="7"/>
      <c r="H147" s="6">
        <f t="shared" si="15"/>
        <v>0.16666666666666666</v>
      </c>
    </row>
    <row r="148" spans="1:8" ht="12" customHeight="1">
      <c r="A148" s="82"/>
      <c r="B148" s="4">
        <v>200</v>
      </c>
      <c r="C148" s="5" t="s">
        <v>130</v>
      </c>
      <c r="D148" s="67" t="s">
        <v>126</v>
      </c>
      <c r="E148" s="6">
        <f t="shared" si="13"/>
        <v>0.004160152701749556</v>
      </c>
      <c r="F148" s="7">
        <f t="shared" si="14"/>
        <v>0.16666666666666669</v>
      </c>
      <c r="G148" s="7"/>
      <c r="H148" s="6">
        <f t="shared" si="15"/>
        <v>0.16666666666666666</v>
      </c>
    </row>
    <row r="149" spans="1:8" ht="12" customHeight="1">
      <c r="A149" s="82"/>
      <c r="B149" s="4">
        <v>300</v>
      </c>
      <c r="C149" s="5" t="s">
        <v>130</v>
      </c>
      <c r="D149" s="67" t="s">
        <v>126</v>
      </c>
      <c r="E149" s="6">
        <f t="shared" si="13"/>
        <v>0.019121755837498953</v>
      </c>
      <c r="F149" s="7">
        <f t="shared" si="14"/>
        <v>0.16666666666666666</v>
      </c>
      <c r="G149" s="7"/>
      <c r="H149" s="6">
        <f t="shared" si="15"/>
        <v>0.16666666666666666</v>
      </c>
    </row>
    <row r="150" spans="1:8" ht="12" customHeight="1">
      <c r="A150" s="82"/>
      <c r="B150" s="4">
        <v>400</v>
      </c>
      <c r="C150" s="5" t="s">
        <v>130</v>
      </c>
      <c r="D150" s="67" t="s">
        <v>126</v>
      </c>
      <c r="E150" s="6">
        <f t="shared" si="13"/>
        <v>0.048429698523734244</v>
      </c>
      <c r="F150" s="7">
        <f t="shared" si="14"/>
        <v>0.16666666666666666</v>
      </c>
      <c r="G150" s="7"/>
      <c r="H150" s="6">
        <f t="shared" si="15"/>
        <v>0.16666666666666663</v>
      </c>
    </row>
    <row r="151" spans="1:8" ht="12" customHeight="1">
      <c r="A151" s="82"/>
      <c r="B151" s="4">
        <v>500</v>
      </c>
      <c r="C151" s="5" t="s">
        <v>130</v>
      </c>
      <c r="D151" s="67" t="s">
        <v>126</v>
      </c>
      <c r="E151" s="6">
        <f t="shared" si="13"/>
        <v>0.08333319255596297</v>
      </c>
      <c r="F151" s="7">
        <f t="shared" si="14"/>
        <v>0.1666666666666667</v>
      </c>
      <c r="G151" s="7"/>
      <c r="H151" s="6">
        <f t="shared" si="15"/>
        <v>0.1666666666666666</v>
      </c>
    </row>
    <row r="152" spans="1:8" ht="12" customHeight="1">
      <c r="A152" s="82"/>
      <c r="B152" s="4">
        <v>700</v>
      </c>
      <c r="C152" s="5" t="s">
        <v>130</v>
      </c>
      <c r="D152" s="67" t="s">
        <v>126</v>
      </c>
      <c r="E152" s="6">
        <f t="shared" si="13"/>
        <v>0.13224269247009832</v>
      </c>
      <c r="F152" s="7">
        <f t="shared" si="14"/>
        <v>0.16666666666666669</v>
      </c>
      <c r="G152" s="7"/>
      <c r="H152" s="6">
        <f t="shared" si="15"/>
        <v>0.16666666666666663</v>
      </c>
    </row>
    <row r="153" spans="1:8" ht="12" customHeight="1">
      <c r="A153" s="82"/>
      <c r="B153" s="4" t="s">
        <v>21</v>
      </c>
      <c r="C153" s="5" t="s">
        <v>130</v>
      </c>
      <c r="D153" s="67" t="s">
        <v>126</v>
      </c>
      <c r="E153" s="6">
        <f t="shared" si="13"/>
        <v>0.1568627139223813</v>
      </c>
      <c r="F153" s="7">
        <f t="shared" si="14"/>
        <v>0.1666666666666667</v>
      </c>
      <c r="G153" s="7"/>
      <c r="H153" s="6">
        <f t="shared" si="15"/>
        <v>0.16666666666666663</v>
      </c>
    </row>
    <row r="154" spans="1:8" ht="12" customHeight="1">
      <c r="A154" s="82"/>
      <c r="B154" s="4" t="s">
        <v>22</v>
      </c>
      <c r="C154" s="5" t="s">
        <v>130</v>
      </c>
      <c r="D154" s="67" t="s">
        <v>126</v>
      </c>
      <c r="E154" s="6">
        <f t="shared" si="13"/>
        <v>0.16463413955800962</v>
      </c>
      <c r="F154" s="7">
        <f t="shared" si="14"/>
        <v>0.16666666666666666</v>
      </c>
      <c r="G154" s="7"/>
      <c r="H154" s="6">
        <f t="shared" si="15"/>
        <v>0.16666666666666663</v>
      </c>
    </row>
    <row r="155" spans="1:8" ht="12" customHeight="1">
      <c r="A155" s="82"/>
      <c r="B155" s="4" t="s">
        <v>23</v>
      </c>
      <c r="C155" s="5" t="s">
        <v>130</v>
      </c>
      <c r="D155" s="67" t="s">
        <v>126</v>
      </c>
      <c r="E155" s="6">
        <f t="shared" si="13"/>
        <v>0.16601815605349157</v>
      </c>
      <c r="F155" s="7">
        <f t="shared" si="14"/>
        <v>0.16666666666666666</v>
      </c>
      <c r="G155" s="7"/>
      <c r="H155" s="6">
        <f t="shared" si="15"/>
        <v>0.16666666666666669</v>
      </c>
    </row>
    <row r="156" spans="1:8" ht="12" customHeight="1">
      <c r="A156" s="82"/>
      <c r="B156" s="4" t="s">
        <v>24</v>
      </c>
      <c r="C156" s="5" t="s">
        <v>130</v>
      </c>
      <c r="D156" s="67" t="s">
        <v>126</v>
      </c>
      <c r="E156" s="6">
        <f t="shared" si="13"/>
        <v>0.16653816456231585</v>
      </c>
      <c r="F156" s="7">
        <f t="shared" si="14"/>
        <v>0.16666666666666663</v>
      </c>
      <c r="G156" s="7"/>
      <c r="H156" s="6">
        <f t="shared" si="15"/>
        <v>0.1666666666666666</v>
      </c>
    </row>
    <row r="157" spans="1:8" ht="12" customHeight="1">
      <c r="A157" s="82"/>
      <c r="B157" s="4" t="s">
        <v>25</v>
      </c>
      <c r="C157" s="5" t="s">
        <v>130</v>
      </c>
      <c r="D157" s="67" t="s">
        <v>126</v>
      </c>
      <c r="E157" s="6">
        <f t="shared" si="13"/>
        <v>0.16662598635677167</v>
      </c>
      <c r="F157" s="7">
        <f t="shared" si="14"/>
        <v>0.16666666666666663</v>
      </c>
      <c r="G157" s="7"/>
      <c r="H157" s="6">
        <f t="shared" si="15"/>
        <v>0.16666666666666663</v>
      </c>
    </row>
    <row r="158" spans="1:8" ht="12" customHeight="1">
      <c r="A158" s="82"/>
      <c r="B158" s="4" t="s">
        <v>26</v>
      </c>
      <c r="C158" s="5" t="s">
        <v>130</v>
      </c>
      <c r="D158" s="67" t="s">
        <v>126</v>
      </c>
      <c r="E158" s="6">
        <f t="shared" si="13"/>
        <v>0.1666500016102002</v>
      </c>
      <c r="F158" s="7">
        <f t="shared" si="14"/>
        <v>0.16666666666666663</v>
      </c>
      <c r="G158" s="7"/>
      <c r="H158" s="6">
        <f t="shared" si="15"/>
        <v>0.16666666666666663</v>
      </c>
    </row>
    <row r="159" spans="1:8" ht="12" customHeight="1">
      <c r="A159" s="82"/>
      <c r="B159" s="4" t="s">
        <v>27</v>
      </c>
      <c r="C159" s="5" t="s">
        <v>130</v>
      </c>
      <c r="D159" s="67" t="s">
        <v>126</v>
      </c>
      <c r="E159" s="6">
        <f t="shared" si="13"/>
        <v>0.16666232829485828</v>
      </c>
      <c r="F159" s="7">
        <f t="shared" si="14"/>
        <v>0.16666666666666666</v>
      </c>
      <c r="G159" s="7"/>
      <c r="H159" s="6">
        <f t="shared" si="15"/>
        <v>0.16666666666666666</v>
      </c>
    </row>
    <row r="160" spans="1:8" ht="12" customHeight="1">
      <c r="A160" s="82"/>
      <c r="B160" s="4" t="s">
        <v>28</v>
      </c>
      <c r="C160" s="5" t="s">
        <v>130</v>
      </c>
      <c r="D160" s="67" t="s">
        <v>126</v>
      </c>
      <c r="E160" s="6">
        <f t="shared" si="13"/>
        <v>0.16666562500299098</v>
      </c>
      <c r="F160" s="7">
        <f t="shared" si="14"/>
        <v>0.16666666666666666</v>
      </c>
      <c r="G160" s="7"/>
      <c r="H160" s="6">
        <f t="shared" si="15"/>
        <v>0.16666666666666666</v>
      </c>
    </row>
    <row r="161" spans="1:8" ht="12" customHeight="1">
      <c r="A161" s="82"/>
      <c r="B161" s="4" t="s">
        <v>29</v>
      </c>
      <c r="C161" s="5" t="s">
        <v>130</v>
      </c>
      <c r="D161" s="67" t="s">
        <v>126</v>
      </c>
      <c r="E161" s="6">
        <f t="shared" si="13"/>
        <v>0.1666664609049086</v>
      </c>
      <c r="F161" s="7">
        <f t="shared" si="14"/>
        <v>0.16666666666666666</v>
      </c>
      <c r="G161" s="7"/>
      <c r="H161" s="6">
        <f t="shared" si="15"/>
        <v>0.16666666666666666</v>
      </c>
    </row>
    <row r="162" spans="1:8" ht="12" customHeight="1">
      <c r="A162" s="83"/>
      <c r="B162" s="4" t="s">
        <v>30</v>
      </c>
      <c r="C162" s="5" t="s">
        <v>130</v>
      </c>
      <c r="D162" s="67" t="s">
        <v>126</v>
      </c>
      <c r="E162" s="6">
        <f t="shared" si="13"/>
        <v>0.16666660156230553</v>
      </c>
      <c r="F162" s="7">
        <f t="shared" si="14"/>
        <v>0.16666666666666669</v>
      </c>
      <c r="G162" s="7"/>
      <c r="H162" s="6">
        <f t="shared" si="15"/>
        <v>0.16666666666666674</v>
      </c>
    </row>
    <row r="163" spans="1:13" ht="12" customHeight="1">
      <c r="A163" s="81" t="s">
        <v>121</v>
      </c>
      <c r="B163" s="4">
        <v>20</v>
      </c>
      <c r="C163" s="5" t="s">
        <v>130</v>
      </c>
      <c r="D163" s="67" t="s">
        <v>126</v>
      </c>
      <c r="E163" s="3">
        <f aca="true" t="shared" si="16" ref="E163:E184">(F119*(1-F97*F163)^2-F97*(1-F97*F163)+F97^2*F119*F141^2)/(F97^2*F119^2*F141^2+(F97-F119*(1-F97*F163))^2)</f>
        <v>0.004721571592164345</v>
      </c>
      <c r="F163" s="7">
        <f>(-1)*(G97*G119^2+F$28^2*(G97-G119))/(G97^2*G119^2+F$28^2*(G97-G119)^2)+(H97^2*H119-G$28^2*(H97-H119))/(H97^2*H119^2+G$28^2*(H97-H119)^2)</f>
        <v>0</v>
      </c>
      <c r="G163" s="7"/>
      <c r="H163" s="3">
        <f>(-1)*(E97*E119^2+E$28^2*(E97-E119))/(E97^2*E119^2+E$28^2*(E97-E119)^2)+E163</f>
        <v>0</v>
      </c>
      <c r="J163" s="11"/>
      <c r="K163" s="11"/>
      <c r="L163" s="11"/>
      <c r="M163" s="11"/>
    </row>
    <row r="164" spans="1:8" ht="12" customHeight="1">
      <c r="A164" s="82"/>
      <c r="B164" s="4">
        <v>30</v>
      </c>
      <c r="C164" s="5" t="s">
        <v>130</v>
      </c>
      <c r="D164" s="67" t="s">
        <v>126</v>
      </c>
      <c r="E164" s="3">
        <f t="shared" si="16"/>
        <v>0.0070964256494422</v>
      </c>
      <c r="F164" s="7">
        <f aca="true" t="shared" si="17" ref="F164:F184">(-1)*(G98*G120^2+F$28^2*(G98-G120))/(G98^2*G120^2+F$28^2*(G98-G120)^2)+(H98^2*H120-G$28^2*(H98-H120))/(H98^2*H120^2+G$28^2*(H98-H120)^2)</f>
        <v>0</v>
      </c>
      <c r="G164" s="7"/>
      <c r="H164" s="3">
        <f aca="true" t="shared" si="18" ref="H164:H184">(-1)*(E98*E120^2+E$28^2*(E98-E120))/(E98^2*E120^2+E$28^2*(E98-E120)^2)+E164</f>
        <v>0</v>
      </c>
    </row>
    <row r="165" spans="1:8" ht="12" customHeight="1">
      <c r="A165" s="82"/>
      <c r="B165" s="4">
        <v>40</v>
      </c>
      <c r="C165" s="5" t="s">
        <v>130</v>
      </c>
      <c r="D165" s="67" t="s">
        <v>126</v>
      </c>
      <c r="E165" s="3">
        <f t="shared" si="16"/>
        <v>0.009488033449477186</v>
      </c>
      <c r="F165" s="7">
        <f t="shared" si="17"/>
        <v>0</v>
      </c>
      <c r="G165" s="7"/>
      <c r="H165" s="3">
        <f t="shared" si="18"/>
        <v>0</v>
      </c>
    </row>
    <row r="166" spans="1:8" ht="12" customHeight="1">
      <c r="A166" s="82"/>
      <c r="B166" s="4">
        <v>50</v>
      </c>
      <c r="C166" s="5" t="s">
        <v>130</v>
      </c>
      <c r="D166" s="67" t="s">
        <v>126</v>
      </c>
      <c r="E166" s="3">
        <f t="shared" si="16"/>
        <v>0.011901763724529653</v>
      </c>
      <c r="F166" s="7">
        <f t="shared" si="17"/>
        <v>0</v>
      </c>
      <c r="G166" s="7"/>
      <c r="H166" s="3">
        <f t="shared" si="18"/>
        <v>0</v>
      </c>
    </row>
    <row r="167" spans="1:8" ht="12" customHeight="1">
      <c r="A167" s="82"/>
      <c r="B167" s="4">
        <v>70</v>
      </c>
      <c r="C167" s="5" t="s">
        <v>130</v>
      </c>
      <c r="D167" s="67" t="s">
        <v>126</v>
      </c>
      <c r="E167" s="3">
        <f t="shared" si="16"/>
        <v>0.01681606693480823</v>
      </c>
      <c r="F167" s="7">
        <f t="shared" si="17"/>
        <v>0</v>
      </c>
      <c r="G167" s="7"/>
      <c r="H167" s="3">
        <f t="shared" si="18"/>
        <v>0</v>
      </c>
    </row>
    <row r="168" spans="1:8" ht="12" customHeight="1">
      <c r="A168" s="82"/>
      <c r="B168" s="4">
        <v>100</v>
      </c>
      <c r="C168" s="5" t="s">
        <v>130</v>
      </c>
      <c r="D168" s="67" t="s">
        <v>126</v>
      </c>
      <c r="E168" s="3">
        <f t="shared" si="16"/>
        <v>0.024473854747852478</v>
      </c>
      <c r="F168" s="7">
        <f t="shared" si="17"/>
        <v>0</v>
      </c>
      <c r="G168" s="7"/>
      <c r="H168" s="3">
        <f t="shared" si="18"/>
        <v>0</v>
      </c>
    </row>
    <row r="169" spans="1:8" ht="12" customHeight="1">
      <c r="A169" s="82"/>
      <c r="B169" s="4">
        <v>150</v>
      </c>
      <c r="C169" s="5" t="s">
        <v>130</v>
      </c>
      <c r="D169" s="67" t="s">
        <v>126</v>
      </c>
      <c r="E169" s="3">
        <f t="shared" si="16"/>
        <v>0.0382276388199217</v>
      </c>
      <c r="F169" s="7">
        <f t="shared" si="17"/>
        <v>0</v>
      </c>
      <c r="G169" s="7"/>
      <c r="H169" s="3">
        <f t="shared" si="18"/>
        <v>0</v>
      </c>
    </row>
    <row r="170" spans="1:8" ht="12" customHeight="1">
      <c r="A170" s="82"/>
      <c r="B170" s="4">
        <v>200</v>
      </c>
      <c r="C170" s="5" t="s">
        <v>130</v>
      </c>
      <c r="D170" s="67" t="s">
        <v>126</v>
      </c>
      <c r="E170" s="3">
        <f t="shared" si="16"/>
        <v>0.0533179310579473</v>
      </c>
      <c r="F170" s="7">
        <f t="shared" si="17"/>
        <v>0</v>
      </c>
      <c r="G170" s="7"/>
      <c r="H170" s="3">
        <f t="shared" si="18"/>
        <v>0</v>
      </c>
    </row>
    <row r="171" spans="1:8" ht="12" customHeight="1">
      <c r="A171" s="82"/>
      <c r="B171" s="4">
        <v>300</v>
      </c>
      <c r="C171" s="5" t="s">
        <v>130</v>
      </c>
      <c r="D171" s="67" t="s">
        <v>126</v>
      </c>
      <c r="E171" s="3">
        <f t="shared" si="16"/>
        <v>0.08513317571468722</v>
      </c>
      <c r="F171" s="7">
        <f t="shared" si="17"/>
        <v>0</v>
      </c>
      <c r="G171" s="7"/>
      <c r="H171" s="3">
        <f t="shared" si="18"/>
        <v>0</v>
      </c>
    </row>
    <row r="172" spans="1:8" ht="12" customHeight="1">
      <c r="A172" s="82"/>
      <c r="B172" s="4">
        <v>400</v>
      </c>
      <c r="C172" s="5" t="s">
        <v>130</v>
      </c>
      <c r="D172" s="67" t="s">
        <v>126</v>
      </c>
      <c r="E172" s="3">
        <f t="shared" si="16"/>
        <v>0.10969111952644146</v>
      </c>
      <c r="F172" s="7">
        <f t="shared" si="17"/>
        <v>0</v>
      </c>
      <c r="G172" s="7"/>
      <c r="H172" s="3">
        <f t="shared" si="18"/>
        <v>0</v>
      </c>
    </row>
    <row r="173" spans="1:8" ht="12" customHeight="1">
      <c r="A173" s="82"/>
      <c r="B173" s="4">
        <v>500</v>
      </c>
      <c r="C173" s="5" t="s">
        <v>130</v>
      </c>
      <c r="D173" s="67" t="s">
        <v>126</v>
      </c>
      <c r="E173" s="3">
        <f t="shared" si="16"/>
        <v>0.11785113019763176</v>
      </c>
      <c r="F173" s="7">
        <f t="shared" si="17"/>
        <v>0</v>
      </c>
      <c r="G173" s="7"/>
      <c r="H173" s="3">
        <f t="shared" si="18"/>
        <v>0</v>
      </c>
    </row>
    <row r="174" spans="1:8" ht="12" customHeight="1">
      <c r="A174" s="82"/>
      <c r="B174" s="4">
        <v>700</v>
      </c>
      <c r="C174" s="5" t="s">
        <v>130</v>
      </c>
      <c r="D174" s="67" t="s">
        <v>126</v>
      </c>
      <c r="E174" s="3">
        <f t="shared" si="16"/>
        <v>0.10087066960718119</v>
      </c>
      <c r="F174" s="7">
        <f t="shared" si="17"/>
        <v>0</v>
      </c>
      <c r="G174" s="7"/>
      <c r="H174" s="3">
        <f t="shared" si="18"/>
        <v>0</v>
      </c>
    </row>
    <row r="175" spans="1:8" ht="12" customHeight="1">
      <c r="A175" s="82"/>
      <c r="B175" s="4" t="s">
        <v>21</v>
      </c>
      <c r="C175" s="5" t="s">
        <v>130</v>
      </c>
      <c r="D175" s="67" t="s">
        <v>126</v>
      </c>
      <c r="E175" s="3">
        <f t="shared" si="16"/>
        <v>0.06932426243413208</v>
      </c>
      <c r="F175" s="7">
        <f t="shared" si="17"/>
        <v>0</v>
      </c>
      <c r="G175" s="7"/>
      <c r="H175" s="3">
        <f t="shared" si="18"/>
        <v>0</v>
      </c>
    </row>
    <row r="176" spans="1:8" ht="12" customHeight="1">
      <c r="A176" s="82"/>
      <c r="B176" s="4" t="s">
        <v>22</v>
      </c>
      <c r="C176" s="5" t="s">
        <v>130</v>
      </c>
      <c r="D176" s="67" t="s">
        <v>126</v>
      </c>
      <c r="E176" s="3">
        <f t="shared" si="16"/>
        <v>0.043116309071540744</v>
      </c>
      <c r="F176" s="7">
        <f t="shared" si="17"/>
        <v>0</v>
      </c>
      <c r="G176" s="7"/>
      <c r="H176" s="3">
        <f t="shared" si="18"/>
        <v>0</v>
      </c>
    </row>
    <row r="177" spans="1:8" ht="12" customHeight="1">
      <c r="A177" s="82"/>
      <c r="B177" s="4" t="s">
        <v>23</v>
      </c>
      <c r="C177" s="5" t="s">
        <v>130</v>
      </c>
      <c r="D177" s="67" t="s">
        <v>126</v>
      </c>
      <c r="E177" s="3">
        <f t="shared" si="16"/>
        <v>0.0311824292353656</v>
      </c>
      <c r="F177" s="7">
        <f t="shared" si="17"/>
        <v>0</v>
      </c>
      <c r="G177" s="7"/>
      <c r="H177" s="3">
        <f t="shared" si="18"/>
        <v>0</v>
      </c>
    </row>
    <row r="178" spans="1:8" ht="12" customHeight="1">
      <c r="A178" s="82"/>
      <c r="B178" s="4" t="s">
        <v>24</v>
      </c>
      <c r="C178" s="5" t="s">
        <v>130</v>
      </c>
      <c r="D178" s="67" t="s">
        <v>126</v>
      </c>
      <c r="E178" s="3">
        <f t="shared" si="16"/>
        <v>0.020171915288514763</v>
      </c>
      <c r="F178" s="7">
        <f t="shared" si="17"/>
        <v>0</v>
      </c>
      <c r="G178" s="7"/>
      <c r="H178" s="3">
        <f t="shared" si="18"/>
        <v>0</v>
      </c>
    </row>
    <row r="179" spans="1:8" ht="12" customHeight="1">
      <c r="A179" s="82"/>
      <c r="B179" s="4" t="s">
        <v>25</v>
      </c>
      <c r="C179" s="5" t="s">
        <v>130</v>
      </c>
      <c r="D179" s="67" t="s">
        <v>126</v>
      </c>
      <c r="E179" s="3">
        <f t="shared" si="16"/>
        <v>0.014957930438917308</v>
      </c>
      <c r="F179" s="7">
        <f t="shared" si="17"/>
        <v>0</v>
      </c>
      <c r="G179" s="7"/>
      <c r="H179" s="3">
        <f t="shared" si="18"/>
        <v>0</v>
      </c>
    </row>
    <row r="180" spans="1:8" ht="12" customHeight="1">
      <c r="A180" s="82"/>
      <c r="B180" s="4" t="s">
        <v>26</v>
      </c>
      <c r="C180" s="5" t="s">
        <v>130</v>
      </c>
      <c r="D180" s="67" t="s">
        <v>126</v>
      </c>
      <c r="E180" s="3">
        <f t="shared" si="16"/>
        <v>0.011901784220632067</v>
      </c>
      <c r="F180" s="7">
        <f t="shared" si="17"/>
        <v>0</v>
      </c>
      <c r="G180" s="7"/>
      <c r="H180" s="3">
        <f t="shared" si="18"/>
        <v>0</v>
      </c>
    </row>
    <row r="181" spans="1:8" ht="12" customHeight="1">
      <c r="A181" s="82"/>
      <c r="B181" s="4" t="s">
        <v>27</v>
      </c>
      <c r="C181" s="5" t="s">
        <v>130</v>
      </c>
      <c r="D181" s="67" t="s">
        <v>126</v>
      </c>
      <c r="E181" s="3">
        <f t="shared" si="16"/>
        <v>0.008460673514025026</v>
      </c>
      <c r="F181" s="7">
        <f t="shared" si="17"/>
        <v>0</v>
      </c>
      <c r="G181" s="7"/>
      <c r="H181" s="3">
        <f t="shared" si="18"/>
        <v>0</v>
      </c>
    </row>
    <row r="182" spans="1:8" ht="12" customHeight="1">
      <c r="A182" s="82"/>
      <c r="B182" s="4" t="s">
        <v>28</v>
      </c>
      <c r="C182" s="5" t="s">
        <v>130</v>
      </c>
      <c r="D182" s="67" t="s">
        <v>126</v>
      </c>
      <c r="E182" s="3">
        <f t="shared" si="16"/>
        <v>0.00590725599525095</v>
      </c>
      <c r="F182" s="7">
        <f t="shared" si="17"/>
        <v>0</v>
      </c>
      <c r="G182" s="7"/>
      <c r="H182" s="3">
        <f t="shared" si="18"/>
        <v>0</v>
      </c>
    </row>
    <row r="183" spans="1:8" ht="12" customHeight="1">
      <c r="A183" s="82"/>
      <c r="B183" s="4" t="s">
        <v>29</v>
      </c>
      <c r="C183" s="5" t="s">
        <v>130</v>
      </c>
      <c r="D183" s="67" t="s">
        <v>126</v>
      </c>
      <c r="E183" s="3">
        <f t="shared" si="16"/>
        <v>0.0039327343372383096</v>
      </c>
      <c r="F183" s="7">
        <f t="shared" si="17"/>
        <v>0</v>
      </c>
      <c r="G183" s="7"/>
      <c r="H183" s="3">
        <f t="shared" si="18"/>
        <v>0</v>
      </c>
    </row>
    <row r="184" spans="1:8" ht="12" customHeight="1">
      <c r="A184" s="83"/>
      <c r="B184" s="4" t="s">
        <v>30</v>
      </c>
      <c r="C184" s="5" t="s">
        <v>130</v>
      </c>
      <c r="D184" s="67" t="s">
        <v>126</v>
      </c>
      <c r="E184" s="3">
        <f t="shared" si="16"/>
        <v>0.0029481210205226675</v>
      </c>
      <c r="F184" s="7">
        <f t="shared" si="17"/>
        <v>0</v>
      </c>
      <c r="G184" s="7"/>
      <c r="H184" s="3">
        <f t="shared" si="18"/>
        <v>3.469446951953614E-18</v>
      </c>
    </row>
    <row r="185" spans="1:8" ht="12" customHeight="1">
      <c r="A185" s="81" t="s">
        <v>122</v>
      </c>
      <c r="B185" s="4">
        <v>20</v>
      </c>
      <c r="C185" s="5" t="s">
        <v>130</v>
      </c>
      <c r="D185" s="2" t="s">
        <v>125</v>
      </c>
      <c r="E185" s="7">
        <f>IF($H$17=1,SpeakerCorrection1!E56,0)+IF($H$17=2,SpeakerCorrection2!E56,0)+IF($H$17=3,SpeakerCorrection3!E56,0)+IF($H$17=4,SpeakerCorrection4!E56,0)</f>
        <v>0</v>
      </c>
      <c r="F185" s="7">
        <f>IF($H$17=1,SpeakerCorrection1!F56,0)+IF($H$17=2,SpeakerCorrection2!F56,0)+IF($H$17=3,SpeakerCorrection3!F56,0)+IF($H$17=4,SpeakerCorrection4!F56,0)</f>
        <v>0</v>
      </c>
      <c r="G185" s="7">
        <f>IF($H$17=1,SpeakerCorrection1!G56,0)+IF($H$17=2,SpeakerCorrection2!G56,0)+IF($H$17=3,SpeakerCorrection3!G56,0)+IF($H$17=4,SpeakerCorrection4!G56,0)</f>
        <v>0</v>
      </c>
      <c r="H185" s="7">
        <f>IF($H$17=1,SpeakerCorrection1!H56,0)+IF($H$17=2,SpeakerCorrection2!H56,0)+IF($H$17=3,SpeakerCorrection3!H56,0)+IF($H$17=4,SpeakerCorrection4!H56,0)</f>
        <v>0</v>
      </c>
    </row>
    <row r="186" spans="1:8" ht="12" customHeight="1">
      <c r="A186" s="82"/>
      <c r="B186" s="4">
        <v>30</v>
      </c>
      <c r="C186" s="5" t="s">
        <v>130</v>
      </c>
      <c r="D186" s="2" t="s">
        <v>125</v>
      </c>
      <c r="E186" s="7">
        <f>IF($H$17=1,SpeakerCorrection1!E57,0)+IF($H$17=2,SpeakerCorrection2!E57,0)+IF($H$17=3,SpeakerCorrection3!E57,0)+IF($H$17=4,SpeakerCorrection4!E57,0)</f>
        <v>0</v>
      </c>
      <c r="F186" s="7">
        <f>IF($H$17=1,SpeakerCorrection1!F57,0)+IF($H$17=2,SpeakerCorrection2!F57,0)+IF($H$17=3,SpeakerCorrection3!F57,0)+IF($H$17=4,SpeakerCorrection4!F57,0)</f>
        <v>0</v>
      </c>
      <c r="G186" s="7">
        <f>IF($H$17=1,SpeakerCorrection1!G57,0)+IF($H$17=2,SpeakerCorrection2!G57,0)+IF($H$17=3,SpeakerCorrection3!G57,0)+IF($H$17=4,SpeakerCorrection4!G57,0)</f>
        <v>0</v>
      </c>
      <c r="H186" s="7">
        <f>IF($H$17=1,SpeakerCorrection1!H57,0)+IF($H$17=2,SpeakerCorrection2!H57,0)+IF($H$17=3,SpeakerCorrection3!H57,0)+IF($H$17=4,SpeakerCorrection4!H57,0)</f>
        <v>0</v>
      </c>
    </row>
    <row r="187" spans="1:8" ht="12" customHeight="1">
      <c r="A187" s="82"/>
      <c r="B187" s="4">
        <v>40</v>
      </c>
      <c r="C187" s="5" t="s">
        <v>130</v>
      </c>
      <c r="D187" s="2" t="s">
        <v>125</v>
      </c>
      <c r="E187" s="7">
        <f>IF($H$17=1,SpeakerCorrection1!E58,0)+IF($H$17=2,SpeakerCorrection2!E58,0)+IF($H$17=3,SpeakerCorrection3!E58,0)+IF($H$17=4,SpeakerCorrection4!E58,0)</f>
        <v>0</v>
      </c>
      <c r="F187" s="7">
        <f>IF($H$17=1,SpeakerCorrection1!F58,0)+IF($H$17=2,SpeakerCorrection2!F58,0)+IF($H$17=3,SpeakerCorrection3!F58,0)+IF($H$17=4,SpeakerCorrection4!F58,0)</f>
        <v>0</v>
      </c>
      <c r="G187" s="7">
        <f>IF($H$17=1,SpeakerCorrection1!G58,0)+IF($H$17=2,SpeakerCorrection2!G58,0)+IF($H$17=3,SpeakerCorrection3!G58,0)+IF($H$17=4,SpeakerCorrection4!G58,0)</f>
        <v>0</v>
      </c>
      <c r="H187" s="7">
        <f>IF($H$17=1,SpeakerCorrection1!H58,0)+IF($H$17=2,SpeakerCorrection2!H58,0)+IF($H$17=3,SpeakerCorrection3!H58,0)+IF($H$17=4,SpeakerCorrection4!H58,0)</f>
        <v>0</v>
      </c>
    </row>
    <row r="188" spans="1:8" ht="12" customHeight="1">
      <c r="A188" s="82"/>
      <c r="B188" s="4">
        <v>50</v>
      </c>
      <c r="C188" s="5" t="s">
        <v>130</v>
      </c>
      <c r="D188" s="2" t="s">
        <v>125</v>
      </c>
      <c r="E188" s="7">
        <f>IF($H$17=1,SpeakerCorrection1!E59,0)+IF($H$17=2,SpeakerCorrection2!E59,0)+IF($H$17=3,SpeakerCorrection3!E59,0)+IF($H$17=4,SpeakerCorrection4!E59,0)</f>
        <v>0</v>
      </c>
      <c r="F188" s="7">
        <f>IF($H$17=1,SpeakerCorrection1!F59,0)+IF($H$17=2,SpeakerCorrection2!F59,0)+IF($H$17=3,SpeakerCorrection3!F59,0)+IF($H$17=4,SpeakerCorrection4!F59,0)</f>
        <v>0</v>
      </c>
      <c r="G188" s="7">
        <f>IF($H$17=1,SpeakerCorrection1!G59,0)+IF($H$17=2,SpeakerCorrection2!G59,0)+IF($H$17=3,SpeakerCorrection3!G59,0)+IF($H$17=4,SpeakerCorrection4!G59,0)</f>
        <v>0</v>
      </c>
      <c r="H188" s="7">
        <f>IF($H$17=1,SpeakerCorrection1!H59,0)+IF($H$17=2,SpeakerCorrection2!H59,0)+IF($H$17=3,SpeakerCorrection3!H59,0)+IF($H$17=4,SpeakerCorrection4!H59,0)</f>
        <v>0</v>
      </c>
    </row>
    <row r="189" spans="1:8" ht="12" customHeight="1">
      <c r="A189" s="82"/>
      <c r="B189" s="4">
        <v>70</v>
      </c>
      <c r="C189" s="5" t="s">
        <v>130</v>
      </c>
      <c r="D189" s="2" t="s">
        <v>125</v>
      </c>
      <c r="E189" s="7">
        <f>IF($H$17=1,SpeakerCorrection1!E60,0)+IF($H$17=2,SpeakerCorrection2!E60,0)+IF($H$17=3,SpeakerCorrection3!E60,0)+IF($H$17=4,SpeakerCorrection4!E60,0)</f>
        <v>0</v>
      </c>
      <c r="F189" s="7">
        <f>IF($H$17=1,SpeakerCorrection1!F60,0)+IF($H$17=2,SpeakerCorrection2!F60,0)+IF($H$17=3,SpeakerCorrection3!F60,0)+IF($H$17=4,SpeakerCorrection4!F60,0)</f>
        <v>0</v>
      </c>
      <c r="G189" s="7">
        <f>IF($H$17=1,SpeakerCorrection1!G60,0)+IF($H$17=2,SpeakerCorrection2!G60,0)+IF($H$17=3,SpeakerCorrection3!G60,0)+IF($H$17=4,SpeakerCorrection4!G60,0)</f>
        <v>0</v>
      </c>
      <c r="H189" s="7">
        <f>IF($H$17=1,SpeakerCorrection1!H60,0)+IF($H$17=2,SpeakerCorrection2!H60,0)+IF($H$17=3,SpeakerCorrection3!H60,0)+IF($H$17=4,SpeakerCorrection4!H60,0)</f>
        <v>0</v>
      </c>
    </row>
    <row r="190" spans="1:8" ht="12" customHeight="1">
      <c r="A190" s="82"/>
      <c r="B190" s="4">
        <v>100</v>
      </c>
      <c r="C190" s="5" t="s">
        <v>130</v>
      </c>
      <c r="D190" s="2" t="s">
        <v>125</v>
      </c>
      <c r="E190" s="7">
        <f>IF($H$17=1,SpeakerCorrection1!E61,0)+IF($H$17=2,SpeakerCorrection2!E61,0)+IF($H$17=3,SpeakerCorrection3!E61,0)+IF($H$17=4,SpeakerCorrection4!E61,0)</f>
        <v>0</v>
      </c>
      <c r="F190" s="7">
        <f>IF($H$17=1,SpeakerCorrection1!F61,0)+IF($H$17=2,SpeakerCorrection2!F61,0)+IF($H$17=3,SpeakerCorrection3!F61,0)+IF($H$17=4,SpeakerCorrection4!F61,0)</f>
        <v>0</v>
      </c>
      <c r="G190" s="7">
        <f>IF($H$17=1,SpeakerCorrection1!G61,0)+IF($H$17=2,SpeakerCorrection2!G61,0)+IF($H$17=3,SpeakerCorrection3!G61,0)+IF($H$17=4,SpeakerCorrection4!G61,0)</f>
        <v>0</v>
      </c>
      <c r="H190" s="7">
        <f>IF($H$17=1,SpeakerCorrection1!H61,0)+IF($H$17=2,SpeakerCorrection2!H61,0)+IF($H$17=3,SpeakerCorrection3!H61,0)+IF($H$17=4,SpeakerCorrection4!H61,0)</f>
        <v>0</v>
      </c>
    </row>
    <row r="191" spans="1:8" ht="12" customHeight="1">
      <c r="A191" s="82"/>
      <c r="B191" s="4">
        <v>150</v>
      </c>
      <c r="C191" s="5" t="s">
        <v>130</v>
      </c>
      <c r="D191" s="2" t="s">
        <v>125</v>
      </c>
      <c r="E191" s="7">
        <f>IF($H$17=1,SpeakerCorrection1!E62,0)+IF($H$17=2,SpeakerCorrection2!E62,0)+IF($H$17=3,SpeakerCorrection3!E62,0)+IF($H$17=4,SpeakerCorrection4!E62,0)</f>
        <v>0</v>
      </c>
      <c r="F191" s="7">
        <f>IF($H$17=1,SpeakerCorrection1!F62,0)+IF($H$17=2,SpeakerCorrection2!F62,0)+IF($H$17=3,SpeakerCorrection3!F62,0)+IF($H$17=4,SpeakerCorrection4!F62,0)</f>
        <v>0</v>
      </c>
      <c r="G191" s="7">
        <f>IF($H$17=1,SpeakerCorrection1!G62,0)+IF($H$17=2,SpeakerCorrection2!G62,0)+IF($H$17=3,SpeakerCorrection3!G62,0)+IF($H$17=4,SpeakerCorrection4!G62,0)</f>
        <v>0</v>
      </c>
      <c r="H191" s="7">
        <f>IF($H$17=1,SpeakerCorrection1!H62,0)+IF($H$17=2,SpeakerCorrection2!H62,0)+IF($H$17=3,SpeakerCorrection3!H62,0)+IF($H$17=4,SpeakerCorrection4!H62,0)</f>
        <v>0</v>
      </c>
    </row>
    <row r="192" spans="1:8" ht="12" customHeight="1">
      <c r="A192" s="82"/>
      <c r="B192" s="4">
        <v>200</v>
      </c>
      <c r="C192" s="5" t="s">
        <v>130</v>
      </c>
      <c r="D192" s="2" t="s">
        <v>125</v>
      </c>
      <c r="E192" s="7">
        <f>IF($H$17=1,SpeakerCorrection1!E63,0)+IF($H$17=2,SpeakerCorrection2!E63,0)+IF($H$17=3,SpeakerCorrection3!E63,0)+IF($H$17=4,SpeakerCorrection4!E63,0)</f>
        <v>0</v>
      </c>
      <c r="F192" s="7">
        <f>IF($H$17=1,SpeakerCorrection1!F63,0)+IF($H$17=2,SpeakerCorrection2!F63,0)+IF($H$17=3,SpeakerCorrection3!F63,0)+IF($H$17=4,SpeakerCorrection4!F63,0)</f>
        <v>0</v>
      </c>
      <c r="G192" s="7">
        <f>IF($H$17=1,SpeakerCorrection1!G63,0)+IF($H$17=2,SpeakerCorrection2!G63,0)+IF($H$17=3,SpeakerCorrection3!G63,0)+IF($H$17=4,SpeakerCorrection4!G63,0)</f>
        <v>0</v>
      </c>
      <c r="H192" s="7">
        <f>IF($H$17=1,SpeakerCorrection1!H63,0)+IF($H$17=2,SpeakerCorrection2!H63,0)+IF($H$17=3,SpeakerCorrection3!H63,0)+IF($H$17=4,SpeakerCorrection4!H63,0)</f>
        <v>0</v>
      </c>
    </row>
    <row r="193" spans="1:8" ht="12" customHeight="1">
      <c r="A193" s="82"/>
      <c r="B193" s="4">
        <v>300</v>
      </c>
      <c r="C193" s="5" t="s">
        <v>130</v>
      </c>
      <c r="D193" s="2" t="s">
        <v>125</v>
      </c>
      <c r="E193" s="7">
        <f>IF($H$17=1,SpeakerCorrection1!E64,0)+IF($H$17=2,SpeakerCorrection2!E64,0)+IF($H$17=3,SpeakerCorrection3!E64,0)+IF($H$17=4,SpeakerCorrection4!E64,0)</f>
        <v>0</v>
      </c>
      <c r="F193" s="7">
        <f>IF($H$17=1,SpeakerCorrection1!F64,0)+IF($H$17=2,SpeakerCorrection2!F64,0)+IF($H$17=3,SpeakerCorrection3!F64,0)+IF($H$17=4,SpeakerCorrection4!F64,0)</f>
        <v>0</v>
      </c>
      <c r="G193" s="7">
        <f>IF($H$17=1,SpeakerCorrection1!G64,0)+IF($H$17=2,SpeakerCorrection2!G64,0)+IF($H$17=3,SpeakerCorrection3!G64,0)+IF($H$17=4,SpeakerCorrection4!G64,0)</f>
        <v>0</v>
      </c>
      <c r="H193" s="7">
        <f>IF($H$17=1,SpeakerCorrection1!H64,0)+IF($H$17=2,SpeakerCorrection2!H64,0)+IF($H$17=3,SpeakerCorrection3!H64,0)+IF($H$17=4,SpeakerCorrection4!H64,0)</f>
        <v>0</v>
      </c>
    </row>
    <row r="194" spans="1:8" ht="12" customHeight="1">
      <c r="A194" s="82"/>
      <c r="B194" s="4">
        <v>400</v>
      </c>
      <c r="C194" s="5" t="s">
        <v>130</v>
      </c>
      <c r="D194" s="2" t="s">
        <v>125</v>
      </c>
      <c r="E194" s="7">
        <f>IF($H$17=1,SpeakerCorrection1!E65,0)+IF($H$17=2,SpeakerCorrection2!E65,0)+IF($H$17=3,SpeakerCorrection3!E65,0)+IF($H$17=4,SpeakerCorrection4!E65,0)</f>
        <v>0</v>
      </c>
      <c r="F194" s="7">
        <f>IF($H$17=1,SpeakerCorrection1!F65,0)+IF($H$17=2,SpeakerCorrection2!F65,0)+IF($H$17=3,SpeakerCorrection3!F65,0)+IF($H$17=4,SpeakerCorrection4!F65,0)</f>
        <v>0</v>
      </c>
      <c r="G194" s="7">
        <f>IF($H$17=1,SpeakerCorrection1!G65,0)+IF($H$17=2,SpeakerCorrection2!G65,0)+IF($H$17=3,SpeakerCorrection3!G65,0)+IF($H$17=4,SpeakerCorrection4!G65,0)</f>
        <v>0</v>
      </c>
      <c r="H194" s="7">
        <f>IF($H$17=1,SpeakerCorrection1!H65,0)+IF($H$17=2,SpeakerCorrection2!H65,0)+IF($H$17=3,SpeakerCorrection3!H65,0)+IF($H$17=4,SpeakerCorrection4!H65,0)</f>
        <v>0</v>
      </c>
    </row>
    <row r="195" spans="1:8" ht="12" customHeight="1">
      <c r="A195" s="82"/>
      <c r="B195" s="4">
        <v>500</v>
      </c>
      <c r="C195" s="5" t="s">
        <v>130</v>
      </c>
      <c r="D195" s="2" t="s">
        <v>125</v>
      </c>
      <c r="E195" s="7">
        <f>IF($H$17=1,SpeakerCorrection1!E66,0)+IF($H$17=2,SpeakerCorrection2!E66,0)+IF($H$17=3,SpeakerCorrection3!E66,0)+IF($H$17=4,SpeakerCorrection4!E66,0)</f>
        <v>0</v>
      </c>
      <c r="F195" s="7">
        <f>IF($H$17=1,SpeakerCorrection1!F66,0)+IF($H$17=2,SpeakerCorrection2!F66,0)+IF($H$17=3,SpeakerCorrection3!F66,0)+IF($H$17=4,SpeakerCorrection4!F66,0)</f>
        <v>0</v>
      </c>
      <c r="G195" s="7">
        <f>IF($H$17=1,SpeakerCorrection1!G66,0)+IF($H$17=2,SpeakerCorrection2!G66,0)+IF($H$17=3,SpeakerCorrection3!G66,0)+IF($H$17=4,SpeakerCorrection4!G66,0)</f>
        <v>0</v>
      </c>
      <c r="H195" s="7">
        <f>IF($H$17=1,SpeakerCorrection1!H66,0)+IF($H$17=2,SpeakerCorrection2!H66,0)+IF($H$17=3,SpeakerCorrection3!H66,0)+IF($H$17=4,SpeakerCorrection4!H66,0)</f>
        <v>0</v>
      </c>
    </row>
    <row r="196" spans="1:8" ht="12" customHeight="1">
      <c r="A196" s="82"/>
      <c r="B196" s="4">
        <v>700</v>
      </c>
      <c r="C196" s="5" t="s">
        <v>130</v>
      </c>
      <c r="D196" s="2" t="s">
        <v>125</v>
      </c>
      <c r="E196" s="7">
        <f>IF($H$17=1,SpeakerCorrection1!E67,0)+IF($H$17=2,SpeakerCorrection2!E67,0)+IF($H$17=3,SpeakerCorrection3!E67,0)+IF($H$17=4,SpeakerCorrection4!E67,0)</f>
        <v>0</v>
      </c>
      <c r="F196" s="7">
        <f>IF($H$17=1,SpeakerCorrection1!F67,0)+IF($H$17=2,SpeakerCorrection2!F67,0)+IF($H$17=3,SpeakerCorrection3!F67,0)+IF($H$17=4,SpeakerCorrection4!F67,0)</f>
        <v>0</v>
      </c>
      <c r="G196" s="7">
        <f>IF($H$17=1,SpeakerCorrection1!G67,0)+IF($H$17=2,SpeakerCorrection2!G67,0)+IF($H$17=3,SpeakerCorrection3!G67,0)+IF($H$17=4,SpeakerCorrection4!G67,0)</f>
        <v>0</v>
      </c>
      <c r="H196" s="7">
        <f>IF($H$17=1,SpeakerCorrection1!H67,0)+IF($H$17=2,SpeakerCorrection2!H67,0)+IF($H$17=3,SpeakerCorrection3!H67,0)+IF($H$17=4,SpeakerCorrection4!H67,0)</f>
        <v>0</v>
      </c>
    </row>
    <row r="197" spans="1:8" ht="12" customHeight="1">
      <c r="A197" s="82"/>
      <c r="B197" s="4" t="s">
        <v>43</v>
      </c>
      <c r="C197" s="5" t="s">
        <v>130</v>
      </c>
      <c r="D197" s="2" t="s">
        <v>125</v>
      </c>
      <c r="E197" s="7">
        <f>IF($H$17=1,SpeakerCorrection1!E68,0)+IF($H$17=2,SpeakerCorrection2!E68,0)+IF($H$17=3,SpeakerCorrection3!E68,0)+IF($H$17=4,SpeakerCorrection4!E68,0)</f>
        <v>0</v>
      </c>
      <c r="F197" s="7">
        <f>IF($H$17=1,SpeakerCorrection1!F68,0)+IF($H$17=2,SpeakerCorrection2!F68,0)+IF($H$17=3,SpeakerCorrection3!F68,0)+IF($H$17=4,SpeakerCorrection4!F68,0)</f>
        <v>0</v>
      </c>
      <c r="G197" s="7">
        <f>IF($H$17=1,SpeakerCorrection1!G68,0)+IF($H$17=2,SpeakerCorrection2!G68,0)+IF($H$17=3,SpeakerCorrection3!G68,0)+IF($H$17=4,SpeakerCorrection4!G68,0)</f>
        <v>0</v>
      </c>
      <c r="H197" s="7">
        <f>IF($H$17=1,SpeakerCorrection1!H68,0)+IF($H$17=2,SpeakerCorrection2!H68,0)+IF($H$17=3,SpeakerCorrection3!H68,0)+IF($H$17=4,SpeakerCorrection4!H68,0)</f>
        <v>0</v>
      </c>
    </row>
    <row r="198" spans="1:8" ht="12" customHeight="1">
      <c r="A198" s="82"/>
      <c r="B198" s="4" t="s">
        <v>44</v>
      </c>
      <c r="C198" s="5" t="s">
        <v>130</v>
      </c>
      <c r="D198" s="2" t="s">
        <v>125</v>
      </c>
      <c r="E198" s="7">
        <f>IF($H$17=1,SpeakerCorrection1!E69,0)+IF($H$17=2,SpeakerCorrection2!E69,0)+IF($H$17=3,SpeakerCorrection3!E69,0)+IF($H$17=4,SpeakerCorrection4!E69,0)</f>
        <v>0</v>
      </c>
      <c r="F198" s="7">
        <f>IF($H$17=1,SpeakerCorrection1!F69,0)+IF($H$17=2,SpeakerCorrection2!F69,0)+IF($H$17=3,SpeakerCorrection3!F69,0)+IF($H$17=4,SpeakerCorrection4!F69,0)</f>
        <v>0</v>
      </c>
      <c r="G198" s="7">
        <f>IF($H$17=1,SpeakerCorrection1!G69,0)+IF($H$17=2,SpeakerCorrection2!G69,0)+IF($H$17=3,SpeakerCorrection3!G69,0)+IF($H$17=4,SpeakerCorrection4!G69,0)</f>
        <v>0</v>
      </c>
      <c r="H198" s="7">
        <f>IF($H$17=1,SpeakerCorrection1!H69,0)+IF($H$17=2,SpeakerCorrection2!H69,0)+IF($H$17=3,SpeakerCorrection3!H69,0)+IF($H$17=4,SpeakerCorrection4!H69,0)</f>
        <v>0</v>
      </c>
    </row>
    <row r="199" spans="1:8" ht="12" customHeight="1">
      <c r="A199" s="82"/>
      <c r="B199" s="4" t="s">
        <v>45</v>
      </c>
      <c r="C199" s="5" t="s">
        <v>130</v>
      </c>
      <c r="D199" s="2" t="s">
        <v>125</v>
      </c>
      <c r="E199" s="7">
        <f>IF($H$17=1,SpeakerCorrection1!E70,0)+IF($H$17=2,SpeakerCorrection2!E70,0)+IF($H$17=3,SpeakerCorrection3!E70,0)+IF($H$17=4,SpeakerCorrection4!E70,0)</f>
        <v>0</v>
      </c>
      <c r="F199" s="7">
        <f>IF($H$17=1,SpeakerCorrection1!F70,0)+IF($H$17=2,SpeakerCorrection2!F70,0)+IF($H$17=3,SpeakerCorrection3!F70,0)+IF($H$17=4,SpeakerCorrection4!F70,0)</f>
        <v>0</v>
      </c>
      <c r="G199" s="7">
        <f>IF($H$17=1,SpeakerCorrection1!G70,0)+IF($H$17=2,SpeakerCorrection2!G70,0)+IF($H$17=3,SpeakerCorrection3!G70,0)+IF($H$17=4,SpeakerCorrection4!G70,0)</f>
        <v>0</v>
      </c>
      <c r="H199" s="7">
        <f>IF($H$17=1,SpeakerCorrection1!H70,0)+IF($H$17=2,SpeakerCorrection2!H70,0)+IF($H$17=3,SpeakerCorrection3!H70,0)+IF($H$17=4,SpeakerCorrection4!H70,0)</f>
        <v>0</v>
      </c>
    </row>
    <row r="200" spans="1:8" ht="12" customHeight="1">
      <c r="A200" s="82"/>
      <c r="B200" s="4" t="s">
        <v>46</v>
      </c>
      <c r="C200" s="5" t="s">
        <v>130</v>
      </c>
      <c r="D200" s="2" t="s">
        <v>125</v>
      </c>
      <c r="E200" s="7">
        <f>IF($H$17=1,SpeakerCorrection1!E71,0)+IF($H$17=2,SpeakerCorrection2!E71,0)+IF($H$17=3,SpeakerCorrection3!E71,0)+IF($H$17=4,SpeakerCorrection4!E71,0)</f>
        <v>0</v>
      </c>
      <c r="F200" s="7">
        <f>IF($H$17=1,SpeakerCorrection1!F71,0)+IF($H$17=2,SpeakerCorrection2!F71,0)+IF($H$17=3,SpeakerCorrection3!F71,0)+IF($H$17=4,SpeakerCorrection4!F71,0)</f>
        <v>0</v>
      </c>
      <c r="G200" s="7">
        <f>IF($H$17=1,SpeakerCorrection1!G71,0)+IF($H$17=2,SpeakerCorrection2!G71,0)+IF($H$17=3,SpeakerCorrection3!G71,0)+IF($H$17=4,SpeakerCorrection4!G71,0)</f>
        <v>0</v>
      </c>
      <c r="H200" s="7">
        <f>IF($H$17=1,SpeakerCorrection1!H71,0)+IF($H$17=2,SpeakerCorrection2!H71,0)+IF($H$17=3,SpeakerCorrection3!H71,0)+IF($H$17=4,SpeakerCorrection4!H71,0)</f>
        <v>0</v>
      </c>
    </row>
    <row r="201" spans="1:8" ht="12" customHeight="1">
      <c r="A201" s="82"/>
      <c r="B201" s="4" t="s">
        <v>47</v>
      </c>
      <c r="C201" s="5" t="s">
        <v>130</v>
      </c>
      <c r="D201" s="2" t="s">
        <v>125</v>
      </c>
      <c r="E201" s="7">
        <f>IF($H$17=1,SpeakerCorrection1!E72,0)+IF($H$17=2,SpeakerCorrection2!E72,0)+IF($H$17=3,SpeakerCorrection3!E72,0)+IF($H$17=4,SpeakerCorrection4!E72,0)</f>
        <v>0</v>
      </c>
      <c r="F201" s="7">
        <f>IF($H$17=1,SpeakerCorrection1!F72,0)+IF($H$17=2,SpeakerCorrection2!F72,0)+IF($H$17=3,SpeakerCorrection3!F72,0)+IF($H$17=4,SpeakerCorrection4!F72,0)</f>
        <v>0</v>
      </c>
      <c r="G201" s="7">
        <f>IF($H$17=1,SpeakerCorrection1!G72,0)+IF($H$17=2,SpeakerCorrection2!G72,0)+IF($H$17=3,SpeakerCorrection3!G72,0)+IF($H$17=4,SpeakerCorrection4!G72,0)</f>
        <v>0</v>
      </c>
      <c r="H201" s="7">
        <f>IF($H$17=1,SpeakerCorrection1!H72,0)+IF($H$17=2,SpeakerCorrection2!H72,0)+IF($H$17=3,SpeakerCorrection3!H72,0)+IF($H$17=4,SpeakerCorrection4!H72,0)</f>
        <v>0</v>
      </c>
    </row>
    <row r="202" spans="1:8" ht="12" customHeight="1">
      <c r="A202" s="82"/>
      <c r="B202" s="4" t="s">
        <v>48</v>
      </c>
      <c r="C202" s="5" t="s">
        <v>130</v>
      </c>
      <c r="D202" s="2" t="s">
        <v>125</v>
      </c>
      <c r="E202" s="7">
        <f>IF($H$17=1,SpeakerCorrection1!E73,0)+IF($H$17=2,SpeakerCorrection2!E73,0)+IF($H$17=3,SpeakerCorrection3!E73,0)+IF($H$17=4,SpeakerCorrection4!E73,0)</f>
        <v>0</v>
      </c>
      <c r="F202" s="7">
        <f>IF($H$17=1,SpeakerCorrection1!F73,0)+IF($H$17=2,SpeakerCorrection2!F73,0)+IF($H$17=3,SpeakerCorrection3!F73,0)+IF($H$17=4,SpeakerCorrection4!F73,0)</f>
        <v>0</v>
      </c>
      <c r="G202" s="7">
        <f>IF($H$17=1,SpeakerCorrection1!G73,0)+IF($H$17=2,SpeakerCorrection2!G73,0)+IF($H$17=3,SpeakerCorrection3!G73,0)+IF($H$17=4,SpeakerCorrection4!G73,0)</f>
        <v>0</v>
      </c>
      <c r="H202" s="7">
        <f>IF($H$17=1,SpeakerCorrection1!H73,0)+IF($H$17=2,SpeakerCorrection2!H73,0)+IF($H$17=3,SpeakerCorrection3!H73,0)+IF($H$17=4,SpeakerCorrection4!H73,0)</f>
        <v>0</v>
      </c>
    </row>
    <row r="203" spans="1:8" ht="12" customHeight="1">
      <c r="A203" s="82"/>
      <c r="B203" s="4" t="s">
        <v>49</v>
      </c>
      <c r="C203" s="5" t="s">
        <v>130</v>
      </c>
      <c r="D203" s="2" t="s">
        <v>125</v>
      </c>
      <c r="E203" s="7">
        <f>IF($H$17=1,SpeakerCorrection1!E74,0)+IF($H$17=2,SpeakerCorrection2!E74,0)+IF($H$17=3,SpeakerCorrection3!E74,0)+IF($H$17=4,SpeakerCorrection4!E74,0)</f>
        <v>0</v>
      </c>
      <c r="F203" s="7">
        <f>IF($H$17=1,SpeakerCorrection1!F74,0)+IF($H$17=2,SpeakerCorrection2!F74,0)+IF($H$17=3,SpeakerCorrection3!F74,0)+IF($H$17=4,SpeakerCorrection4!F74,0)</f>
        <v>0</v>
      </c>
      <c r="G203" s="7">
        <f>IF($H$17=1,SpeakerCorrection1!G74,0)+IF($H$17=2,SpeakerCorrection2!G74,0)+IF($H$17=3,SpeakerCorrection3!G74,0)+IF($H$17=4,SpeakerCorrection4!G74,0)</f>
        <v>0</v>
      </c>
      <c r="H203" s="7">
        <f>IF($H$17=1,SpeakerCorrection1!H74,0)+IF($H$17=2,SpeakerCorrection2!H74,0)+IF($H$17=3,SpeakerCorrection3!H74,0)+IF($H$17=4,SpeakerCorrection4!H74,0)</f>
        <v>0</v>
      </c>
    </row>
    <row r="204" spans="1:8" ht="12" customHeight="1">
      <c r="A204" s="82"/>
      <c r="B204" s="4" t="s">
        <v>50</v>
      </c>
      <c r="C204" s="5" t="s">
        <v>130</v>
      </c>
      <c r="D204" s="2" t="s">
        <v>125</v>
      </c>
      <c r="E204" s="7">
        <f>IF($H$17=1,SpeakerCorrection1!E75,0)+IF($H$17=2,SpeakerCorrection2!E75,0)+IF($H$17=3,SpeakerCorrection3!E75,0)+IF($H$17=4,SpeakerCorrection4!E75,0)</f>
        <v>0</v>
      </c>
      <c r="F204" s="7">
        <f>IF($H$17=1,SpeakerCorrection1!F75,0)+IF($H$17=2,SpeakerCorrection2!F75,0)+IF($H$17=3,SpeakerCorrection3!F75,0)+IF($H$17=4,SpeakerCorrection4!F75,0)</f>
        <v>0</v>
      </c>
      <c r="G204" s="7">
        <f>IF($H$17=1,SpeakerCorrection1!G75,0)+IF($H$17=2,SpeakerCorrection2!G75,0)+IF($H$17=3,SpeakerCorrection3!G75,0)+IF($H$17=4,SpeakerCorrection4!G75,0)</f>
        <v>0</v>
      </c>
      <c r="H204" s="7">
        <f>IF($H$17=1,SpeakerCorrection1!H75,0)+IF($H$17=2,SpeakerCorrection2!H75,0)+IF($H$17=3,SpeakerCorrection3!H75,0)+IF($H$17=4,SpeakerCorrection4!H75,0)</f>
        <v>0</v>
      </c>
    </row>
    <row r="205" spans="1:8" ht="12" customHeight="1">
      <c r="A205" s="82"/>
      <c r="B205" s="4" t="s">
        <v>51</v>
      </c>
      <c r="C205" s="5" t="s">
        <v>130</v>
      </c>
      <c r="D205" s="2" t="s">
        <v>125</v>
      </c>
      <c r="E205" s="7">
        <f>IF($H$17=1,SpeakerCorrection1!E76,0)+IF($H$17=2,SpeakerCorrection2!E76,0)+IF($H$17=3,SpeakerCorrection3!E76,0)+IF($H$17=4,SpeakerCorrection4!E76,0)</f>
        <v>0</v>
      </c>
      <c r="F205" s="7">
        <f>IF($H$17=1,SpeakerCorrection1!F76,0)+IF($H$17=2,SpeakerCorrection2!F76,0)+IF($H$17=3,SpeakerCorrection3!F76,0)+IF($H$17=4,SpeakerCorrection4!F76,0)</f>
        <v>0</v>
      </c>
      <c r="G205" s="7">
        <f>IF($H$17=1,SpeakerCorrection1!G76,0)+IF($H$17=2,SpeakerCorrection2!G76,0)+IF($H$17=3,SpeakerCorrection3!G76,0)+IF($H$17=4,SpeakerCorrection4!G76,0)</f>
        <v>0</v>
      </c>
      <c r="H205" s="7">
        <f>IF($H$17=1,SpeakerCorrection1!H76,0)+IF($H$17=2,SpeakerCorrection2!H76,0)+IF($H$17=3,SpeakerCorrection3!H76,0)+IF($H$17=4,SpeakerCorrection4!H76,0)</f>
        <v>0</v>
      </c>
    </row>
    <row r="206" spans="1:8" ht="12" customHeight="1">
      <c r="A206" s="83"/>
      <c r="B206" s="4" t="s">
        <v>52</v>
      </c>
      <c r="C206" s="5" t="s">
        <v>130</v>
      </c>
      <c r="D206" s="2" t="s">
        <v>125</v>
      </c>
      <c r="E206" s="7">
        <f>IF($H$17=1,SpeakerCorrection1!E77,0)+IF($H$17=2,SpeakerCorrection2!E77,0)+IF($H$17=3,SpeakerCorrection3!E77,0)+IF($H$17=4,SpeakerCorrection4!E77,0)</f>
        <v>0</v>
      </c>
      <c r="F206" s="7">
        <f>IF($H$17=1,SpeakerCorrection1!F77,0)+IF($H$17=2,SpeakerCorrection2!F77,0)+IF($H$17=3,SpeakerCorrection3!F77,0)+IF($H$17=4,SpeakerCorrection4!F77,0)</f>
        <v>0</v>
      </c>
      <c r="G206" s="7">
        <f>IF($H$17=1,SpeakerCorrection1!G77,0)+IF($H$17=2,SpeakerCorrection2!G77,0)+IF($H$17=3,SpeakerCorrection3!G77,0)+IF($H$17=4,SpeakerCorrection4!G77,0)</f>
        <v>0</v>
      </c>
      <c r="H206" s="7">
        <f>IF($H$17=1,SpeakerCorrection1!H77,0)+IF($H$17=2,SpeakerCorrection2!H77,0)+IF($H$17=3,SpeakerCorrection3!H77,0)+IF($H$17=4,SpeakerCorrection4!H77,0)</f>
        <v>0</v>
      </c>
    </row>
    <row r="207" spans="1:8" ht="12" customHeight="1">
      <c r="A207" s="81" t="s">
        <v>123</v>
      </c>
      <c r="B207" s="4">
        <v>20</v>
      </c>
      <c r="C207" s="5" t="s">
        <v>130</v>
      </c>
      <c r="D207" s="2" t="s">
        <v>124</v>
      </c>
      <c r="E207" s="53">
        <f>IF($H$17=1,SpeakerCorrection1!E78,0)+IF($H$17=2,SpeakerCorrection2!E78,0)+IF($H$17=3,SpeakerCorrection3!E78,0)+IF($H$17=4,SpeakerCorrection4!E78,0)</f>
        <v>0</v>
      </c>
      <c r="F207" s="53">
        <f>IF($H$17=1,SpeakerCorrection1!F78,0)+IF($H$17=2,SpeakerCorrection2!F78,0)+IF($H$17=3,SpeakerCorrection3!F78,0)+IF($H$17=4,SpeakerCorrection4!F78,0)</f>
        <v>0</v>
      </c>
      <c r="G207" s="53">
        <f>IF($H$17=1,SpeakerCorrection1!G78,0)+IF($H$17=2,SpeakerCorrection2!G78,0)+IF($H$17=3,SpeakerCorrection3!G78,0)+IF($H$17=4,SpeakerCorrection4!G78,0)</f>
        <v>0</v>
      </c>
      <c r="H207" s="53">
        <f>IF($H$17=1,SpeakerCorrection1!H78,0)+IF($H$17=2,SpeakerCorrection2!H78,0)+IF($H$17=3,SpeakerCorrection3!H78,0)+IF($H$17=4,SpeakerCorrection4!H78,0)</f>
        <v>0</v>
      </c>
    </row>
    <row r="208" spans="1:8" ht="12" customHeight="1">
      <c r="A208" s="82"/>
      <c r="B208" s="4">
        <v>30</v>
      </c>
      <c r="C208" s="5" t="s">
        <v>130</v>
      </c>
      <c r="D208" s="2" t="s">
        <v>124</v>
      </c>
      <c r="E208" s="53">
        <f>IF($H$17=1,SpeakerCorrection1!E79,0)+IF($H$17=2,SpeakerCorrection2!E79,0)+IF($H$17=3,SpeakerCorrection3!E79,0)+IF($H$17=4,SpeakerCorrection4!E79,0)</f>
        <v>0</v>
      </c>
      <c r="F208" s="53">
        <f>IF($H$17=1,SpeakerCorrection1!F79,0)+IF($H$17=2,SpeakerCorrection2!F79,0)+IF($H$17=3,SpeakerCorrection3!F79,0)+IF($H$17=4,SpeakerCorrection4!F79,0)</f>
        <v>0</v>
      </c>
      <c r="G208" s="53">
        <f>IF($H$17=1,SpeakerCorrection1!G79,0)+IF($H$17=2,SpeakerCorrection2!G79,0)+IF($H$17=3,SpeakerCorrection3!G79,0)+IF($H$17=4,SpeakerCorrection4!G79,0)</f>
        <v>0</v>
      </c>
      <c r="H208" s="53">
        <f>IF($H$17=1,SpeakerCorrection1!H79,0)+IF($H$17=2,SpeakerCorrection2!H79,0)+IF($H$17=3,SpeakerCorrection3!H79,0)+IF($H$17=4,SpeakerCorrection4!H79,0)</f>
        <v>0</v>
      </c>
    </row>
    <row r="209" spans="1:8" ht="12" customHeight="1">
      <c r="A209" s="82"/>
      <c r="B209" s="4">
        <v>40</v>
      </c>
      <c r="C209" s="5" t="s">
        <v>130</v>
      </c>
      <c r="D209" s="2" t="s">
        <v>124</v>
      </c>
      <c r="E209" s="53">
        <f>IF($H$17=1,SpeakerCorrection1!E80,0)+IF($H$17=2,SpeakerCorrection2!E80,0)+IF($H$17=3,SpeakerCorrection3!E80,0)+IF($H$17=4,SpeakerCorrection4!E80,0)</f>
        <v>0</v>
      </c>
      <c r="F209" s="53">
        <f>IF($H$17=1,SpeakerCorrection1!F80,0)+IF($H$17=2,SpeakerCorrection2!F80,0)+IF($H$17=3,SpeakerCorrection3!F80,0)+IF($H$17=4,SpeakerCorrection4!F80,0)</f>
        <v>0</v>
      </c>
      <c r="G209" s="53">
        <f>IF($H$17=1,SpeakerCorrection1!G80,0)+IF($H$17=2,SpeakerCorrection2!G80,0)+IF($H$17=3,SpeakerCorrection3!G80,0)+IF($H$17=4,SpeakerCorrection4!G80,0)</f>
        <v>0</v>
      </c>
      <c r="H209" s="53">
        <f>IF($H$17=1,SpeakerCorrection1!H80,0)+IF($H$17=2,SpeakerCorrection2!H80,0)+IF($H$17=3,SpeakerCorrection3!H80,0)+IF($H$17=4,SpeakerCorrection4!H80,0)</f>
        <v>0</v>
      </c>
    </row>
    <row r="210" spans="1:8" ht="12" customHeight="1">
      <c r="A210" s="82"/>
      <c r="B210" s="4">
        <v>50</v>
      </c>
      <c r="C210" s="5" t="s">
        <v>130</v>
      </c>
      <c r="D210" s="2" t="s">
        <v>124</v>
      </c>
      <c r="E210" s="53">
        <f>IF($H$17=1,SpeakerCorrection1!E81,0)+IF($H$17=2,SpeakerCorrection2!E81,0)+IF($H$17=3,SpeakerCorrection3!E81,0)+IF($H$17=4,SpeakerCorrection4!E81,0)</f>
        <v>0</v>
      </c>
      <c r="F210" s="53">
        <f>IF($H$17=1,SpeakerCorrection1!F81,0)+IF($H$17=2,SpeakerCorrection2!F81,0)+IF($H$17=3,SpeakerCorrection3!F81,0)+IF($H$17=4,SpeakerCorrection4!F81,0)</f>
        <v>0</v>
      </c>
      <c r="G210" s="53">
        <f>IF($H$17=1,SpeakerCorrection1!G81,0)+IF($H$17=2,SpeakerCorrection2!G81,0)+IF($H$17=3,SpeakerCorrection3!G81,0)+IF($H$17=4,SpeakerCorrection4!G81,0)</f>
        <v>0</v>
      </c>
      <c r="H210" s="53">
        <f>IF($H$17=1,SpeakerCorrection1!H81,0)+IF($H$17=2,SpeakerCorrection2!H81,0)+IF($H$17=3,SpeakerCorrection3!H81,0)+IF($H$17=4,SpeakerCorrection4!H81,0)</f>
        <v>0</v>
      </c>
    </row>
    <row r="211" spans="1:8" ht="12" customHeight="1">
      <c r="A211" s="82"/>
      <c r="B211" s="4">
        <v>70</v>
      </c>
      <c r="C211" s="5" t="s">
        <v>130</v>
      </c>
      <c r="D211" s="2" t="s">
        <v>124</v>
      </c>
      <c r="E211" s="53">
        <f>IF($H$17=1,SpeakerCorrection1!E82,0)+IF($H$17=2,SpeakerCorrection2!E82,0)+IF($H$17=3,SpeakerCorrection3!E82,0)+IF($H$17=4,SpeakerCorrection4!E82,0)</f>
        <v>0</v>
      </c>
      <c r="F211" s="53">
        <f>IF($H$17=1,SpeakerCorrection1!F82,0)+IF($H$17=2,SpeakerCorrection2!F82,0)+IF($H$17=3,SpeakerCorrection3!F82,0)+IF($H$17=4,SpeakerCorrection4!F82,0)</f>
        <v>0</v>
      </c>
      <c r="G211" s="53">
        <f>IF($H$17=1,SpeakerCorrection1!G82,0)+IF($H$17=2,SpeakerCorrection2!G82,0)+IF($H$17=3,SpeakerCorrection3!G82,0)+IF($H$17=4,SpeakerCorrection4!G82,0)</f>
        <v>0</v>
      </c>
      <c r="H211" s="53">
        <f>IF($H$17=1,SpeakerCorrection1!H82,0)+IF($H$17=2,SpeakerCorrection2!H82,0)+IF($H$17=3,SpeakerCorrection3!H82,0)+IF($H$17=4,SpeakerCorrection4!H82,0)</f>
        <v>0</v>
      </c>
    </row>
    <row r="212" spans="1:8" ht="12" customHeight="1">
      <c r="A212" s="82"/>
      <c r="B212" s="4">
        <v>100</v>
      </c>
      <c r="C212" s="5" t="s">
        <v>130</v>
      </c>
      <c r="D212" s="2" t="s">
        <v>124</v>
      </c>
      <c r="E212" s="53">
        <f>IF($H$17=1,SpeakerCorrection1!E83,0)+IF($H$17=2,SpeakerCorrection2!E83,0)+IF($H$17=3,SpeakerCorrection3!E83,0)+IF($H$17=4,SpeakerCorrection4!E83,0)</f>
        <v>0</v>
      </c>
      <c r="F212" s="53">
        <f>IF($H$17=1,SpeakerCorrection1!F83,0)+IF($H$17=2,SpeakerCorrection2!F83,0)+IF($H$17=3,SpeakerCorrection3!F83,0)+IF($H$17=4,SpeakerCorrection4!F83,0)</f>
        <v>0</v>
      </c>
      <c r="G212" s="53">
        <f>IF($H$17=1,SpeakerCorrection1!G83,0)+IF($H$17=2,SpeakerCorrection2!G83,0)+IF($H$17=3,SpeakerCorrection3!G83,0)+IF($H$17=4,SpeakerCorrection4!G83,0)</f>
        <v>0</v>
      </c>
      <c r="H212" s="53">
        <f>IF($H$17=1,SpeakerCorrection1!H83,0)+IF($H$17=2,SpeakerCorrection2!H83,0)+IF($H$17=3,SpeakerCorrection3!H83,0)+IF($H$17=4,SpeakerCorrection4!H83,0)</f>
        <v>0</v>
      </c>
    </row>
    <row r="213" spans="1:8" ht="12" customHeight="1">
      <c r="A213" s="82"/>
      <c r="B213" s="4">
        <v>150</v>
      </c>
      <c r="C213" s="5" t="s">
        <v>130</v>
      </c>
      <c r="D213" s="2" t="s">
        <v>124</v>
      </c>
      <c r="E213" s="53">
        <f>IF($H$17=1,SpeakerCorrection1!E84,0)+IF($H$17=2,SpeakerCorrection2!E84,0)+IF($H$17=3,SpeakerCorrection3!E84,0)+IF($H$17=4,SpeakerCorrection4!E84,0)</f>
        <v>0</v>
      </c>
      <c r="F213" s="53">
        <f>IF($H$17=1,SpeakerCorrection1!F84,0)+IF($H$17=2,SpeakerCorrection2!F84,0)+IF($H$17=3,SpeakerCorrection3!F84,0)+IF($H$17=4,SpeakerCorrection4!F84,0)</f>
        <v>0</v>
      </c>
      <c r="G213" s="53">
        <f>IF($H$17=1,SpeakerCorrection1!G84,0)+IF($H$17=2,SpeakerCorrection2!G84,0)+IF($H$17=3,SpeakerCorrection3!G84,0)+IF($H$17=4,SpeakerCorrection4!G84,0)</f>
        <v>0</v>
      </c>
      <c r="H213" s="53">
        <f>IF($H$17=1,SpeakerCorrection1!H84,0)+IF($H$17=2,SpeakerCorrection2!H84,0)+IF($H$17=3,SpeakerCorrection3!H84,0)+IF($H$17=4,SpeakerCorrection4!H84,0)</f>
        <v>0</v>
      </c>
    </row>
    <row r="214" spans="1:8" ht="12" customHeight="1">
      <c r="A214" s="82"/>
      <c r="B214" s="4">
        <v>200</v>
      </c>
      <c r="C214" s="5" t="s">
        <v>130</v>
      </c>
      <c r="D214" s="2" t="s">
        <v>124</v>
      </c>
      <c r="E214" s="53">
        <f>IF($H$17=1,SpeakerCorrection1!E85,0)+IF($H$17=2,SpeakerCorrection2!E85,0)+IF($H$17=3,SpeakerCorrection3!E85,0)+IF($H$17=4,SpeakerCorrection4!E85,0)</f>
        <v>0</v>
      </c>
      <c r="F214" s="53">
        <f>IF($H$17=1,SpeakerCorrection1!F85,0)+IF($H$17=2,SpeakerCorrection2!F85,0)+IF($H$17=3,SpeakerCorrection3!F85,0)+IF($H$17=4,SpeakerCorrection4!F85,0)</f>
        <v>0</v>
      </c>
      <c r="G214" s="53">
        <f>IF($H$17=1,SpeakerCorrection1!G85,0)+IF($H$17=2,SpeakerCorrection2!G85,0)+IF($H$17=3,SpeakerCorrection3!G85,0)+IF($H$17=4,SpeakerCorrection4!G85,0)</f>
        <v>0</v>
      </c>
      <c r="H214" s="53">
        <f>IF($H$17=1,SpeakerCorrection1!H85,0)+IF($H$17=2,SpeakerCorrection2!H85,0)+IF($H$17=3,SpeakerCorrection3!H85,0)+IF($H$17=4,SpeakerCorrection4!H85,0)</f>
        <v>0</v>
      </c>
    </row>
    <row r="215" spans="1:8" ht="12" customHeight="1">
      <c r="A215" s="82"/>
      <c r="B215" s="4">
        <v>300</v>
      </c>
      <c r="C215" s="5" t="s">
        <v>130</v>
      </c>
      <c r="D215" s="2" t="s">
        <v>124</v>
      </c>
      <c r="E215" s="53">
        <f>IF($H$17=1,SpeakerCorrection1!E86,0)+IF($H$17=2,SpeakerCorrection2!E86,0)+IF($H$17=3,SpeakerCorrection3!E86,0)+IF($H$17=4,SpeakerCorrection4!E86,0)</f>
        <v>0</v>
      </c>
      <c r="F215" s="53">
        <f>IF($H$17=1,SpeakerCorrection1!F86,0)+IF($H$17=2,SpeakerCorrection2!F86,0)+IF($H$17=3,SpeakerCorrection3!F86,0)+IF($H$17=4,SpeakerCorrection4!F86,0)</f>
        <v>0</v>
      </c>
      <c r="G215" s="53">
        <f>IF($H$17=1,SpeakerCorrection1!G86,0)+IF($H$17=2,SpeakerCorrection2!G86,0)+IF($H$17=3,SpeakerCorrection3!G86,0)+IF($H$17=4,SpeakerCorrection4!G86,0)</f>
        <v>0</v>
      </c>
      <c r="H215" s="53">
        <f>IF($H$17=1,SpeakerCorrection1!H86,0)+IF($H$17=2,SpeakerCorrection2!H86,0)+IF($H$17=3,SpeakerCorrection3!H86,0)+IF($H$17=4,SpeakerCorrection4!H86,0)</f>
        <v>0</v>
      </c>
    </row>
    <row r="216" spans="1:8" ht="12" customHeight="1">
      <c r="A216" s="82"/>
      <c r="B216" s="4">
        <v>400</v>
      </c>
      <c r="C216" s="5" t="s">
        <v>130</v>
      </c>
      <c r="D216" s="2" t="s">
        <v>124</v>
      </c>
      <c r="E216" s="53">
        <f>IF($H$17=1,SpeakerCorrection1!E87,0)+IF($H$17=2,SpeakerCorrection2!E87,0)+IF($H$17=3,SpeakerCorrection3!E87,0)+IF($H$17=4,SpeakerCorrection4!E87,0)</f>
        <v>0</v>
      </c>
      <c r="F216" s="53">
        <f>IF($H$17=1,SpeakerCorrection1!F87,0)+IF($H$17=2,SpeakerCorrection2!F87,0)+IF($H$17=3,SpeakerCorrection3!F87,0)+IF($H$17=4,SpeakerCorrection4!F87,0)</f>
        <v>0</v>
      </c>
      <c r="G216" s="53">
        <f>IF($H$17=1,SpeakerCorrection1!G87,0)+IF($H$17=2,SpeakerCorrection2!G87,0)+IF($H$17=3,SpeakerCorrection3!G87,0)+IF($H$17=4,SpeakerCorrection4!G87,0)</f>
        <v>0</v>
      </c>
      <c r="H216" s="53">
        <f>IF($H$17=1,SpeakerCorrection1!H87,0)+IF($H$17=2,SpeakerCorrection2!H87,0)+IF($H$17=3,SpeakerCorrection3!H87,0)+IF($H$17=4,SpeakerCorrection4!H87,0)</f>
        <v>0</v>
      </c>
    </row>
    <row r="217" spans="1:8" ht="12" customHeight="1">
      <c r="A217" s="82"/>
      <c r="B217" s="4">
        <v>500</v>
      </c>
      <c r="C217" s="5" t="s">
        <v>130</v>
      </c>
      <c r="D217" s="2" t="s">
        <v>124</v>
      </c>
      <c r="E217" s="53">
        <f>IF($H$17=1,SpeakerCorrection1!E88,0)+IF($H$17=2,SpeakerCorrection2!E88,0)+IF($H$17=3,SpeakerCorrection3!E88,0)+IF($H$17=4,SpeakerCorrection4!E88,0)</f>
        <v>0</v>
      </c>
      <c r="F217" s="53">
        <f>IF($H$17=1,SpeakerCorrection1!F88,0)+IF($H$17=2,SpeakerCorrection2!F88,0)+IF($H$17=3,SpeakerCorrection3!F88,0)+IF($H$17=4,SpeakerCorrection4!F88,0)</f>
        <v>0</v>
      </c>
      <c r="G217" s="53">
        <f>IF($H$17=1,SpeakerCorrection1!G88,0)+IF($H$17=2,SpeakerCorrection2!G88,0)+IF($H$17=3,SpeakerCorrection3!G88,0)+IF($H$17=4,SpeakerCorrection4!G88,0)</f>
        <v>0</v>
      </c>
      <c r="H217" s="53">
        <f>IF($H$17=1,SpeakerCorrection1!H88,0)+IF($H$17=2,SpeakerCorrection2!H88,0)+IF($H$17=3,SpeakerCorrection3!H88,0)+IF($H$17=4,SpeakerCorrection4!H88,0)</f>
        <v>0</v>
      </c>
    </row>
    <row r="218" spans="1:8" ht="12" customHeight="1">
      <c r="A218" s="82"/>
      <c r="B218" s="4">
        <v>700</v>
      </c>
      <c r="C218" s="5" t="s">
        <v>130</v>
      </c>
      <c r="D218" s="2" t="s">
        <v>124</v>
      </c>
      <c r="E218" s="53">
        <f>IF($H$17=1,SpeakerCorrection1!E89,0)+IF($H$17=2,SpeakerCorrection2!E89,0)+IF($H$17=3,SpeakerCorrection3!E89,0)+IF($H$17=4,SpeakerCorrection4!E89,0)</f>
        <v>0</v>
      </c>
      <c r="F218" s="53">
        <f>IF($H$17=1,SpeakerCorrection1!F89,0)+IF($H$17=2,SpeakerCorrection2!F89,0)+IF($H$17=3,SpeakerCorrection3!F89,0)+IF($H$17=4,SpeakerCorrection4!F89,0)</f>
        <v>0</v>
      </c>
      <c r="G218" s="53">
        <f>IF($H$17=1,SpeakerCorrection1!G89,0)+IF($H$17=2,SpeakerCorrection2!G89,0)+IF($H$17=3,SpeakerCorrection3!G89,0)+IF($H$17=4,SpeakerCorrection4!G89,0)</f>
        <v>0</v>
      </c>
      <c r="H218" s="53">
        <f>IF($H$17=1,SpeakerCorrection1!H89,0)+IF($H$17=2,SpeakerCorrection2!H89,0)+IF($H$17=3,SpeakerCorrection3!H89,0)+IF($H$17=4,SpeakerCorrection4!H89,0)</f>
        <v>0</v>
      </c>
    </row>
    <row r="219" spans="1:8" ht="12" customHeight="1">
      <c r="A219" s="82"/>
      <c r="B219" s="4" t="s">
        <v>21</v>
      </c>
      <c r="C219" s="5" t="s">
        <v>130</v>
      </c>
      <c r="D219" s="2" t="s">
        <v>124</v>
      </c>
      <c r="E219" s="53">
        <f>IF($H$17=1,SpeakerCorrection1!E90,0)+IF($H$17=2,SpeakerCorrection2!E90,0)+IF($H$17=3,SpeakerCorrection3!E90,0)+IF($H$17=4,SpeakerCorrection4!E90,0)</f>
        <v>0</v>
      </c>
      <c r="F219" s="53">
        <f>IF($H$17=1,SpeakerCorrection1!F90,0)+IF($H$17=2,SpeakerCorrection2!F90,0)+IF($H$17=3,SpeakerCorrection3!F90,0)+IF($H$17=4,SpeakerCorrection4!F90,0)</f>
        <v>0</v>
      </c>
      <c r="G219" s="53">
        <f>IF($H$17=1,SpeakerCorrection1!G90,0)+IF($H$17=2,SpeakerCorrection2!G90,0)+IF($H$17=3,SpeakerCorrection3!G90,0)+IF($H$17=4,SpeakerCorrection4!G90,0)</f>
        <v>0</v>
      </c>
      <c r="H219" s="53">
        <f>IF($H$17=1,SpeakerCorrection1!H90,0)+IF($H$17=2,SpeakerCorrection2!H90,0)+IF($H$17=3,SpeakerCorrection3!H90,0)+IF($H$17=4,SpeakerCorrection4!H90,0)</f>
        <v>0</v>
      </c>
    </row>
    <row r="220" spans="1:8" ht="12" customHeight="1">
      <c r="A220" s="82"/>
      <c r="B220" s="4" t="s">
        <v>22</v>
      </c>
      <c r="C220" s="5" t="s">
        <v>130</v>
      </c>
      <c r="D220" s="2" t="s">
        <v>124</v>
      </c>
      <c r="E220" s="53">
        <f>IF($H$17=1,SpeakerCorrection1!E91,0)+IF($H$17=2,SpeakerCorrection2!E91,0)+IF($H$17=3,SpeakerCorrection3!E91,0)+IF($H$17=4,SpeakerCorrection4!E91,0)</f>
        <v>0</v>
      </c>
      <c r="F220" s="53">
        <f>IF($H$17=1,SpeakerCorrection1!F91,0)+IF($H$17=2,SpeakerCorrection2!F91,0)+IF($H$17=3,SpeakerCorrection3!F91,0)+IF($H$17=4,SpeakerCorrection4!F91,0)</f>
        <v>0</v>
      </c>
      <c r="G220" s="53">
        <f>IF($H$17=1,SpeakerCorrection1!G91,0)+IF($H$17=2,SpeakerCorrection2!G91,0)+IF($H$17=3,SpeakerCorrection3!G91,0)+IF($H$17=4,SpeakerCorrection4!G91,0)</f>
        <v>0</v>
      </c>
      <c r="H220" s="53">
        <f>IF($H$17=1,SpeakerCorrection1!H91,0)+IF($H$17=2,SpeakerCorrection2!H91,0)+IF($H$17=3,SpeakerCorrection3!H91,0)+IF($H$17=4,SpeakerCorrection4!H91,0)</f>
        <v>0</v>
      </c>
    </row>
    <row r="221" spans="1:8" ht="12" customHeight="1">
      <c r="A221" s="82"/>
      <c r="B221" s="4" t="s">
        <v>23</v>
      </c>
      <c r="C221" s="5" t="s">
        <v>130</v>
      </c>
      <c r="D221" s="2" t="s">
        <v>124</v>
      </c>
      <c r="E221" s="53">
        <f>IF($H$17=1,SpeakerCorrection1!E92,0)+IF($H$17=2,SpeakerCorrection2!E92,0)+IF($H$17=3,SpeakerCorrection3!E92,0)+IF($H$17=4,SpeakerCorrection4!E92,0)</f>
        <v>0</v>
      </c>
      <c r="F221" s="53">
        <f>IF($H$17=1,SpeakerCorrection1!F92,0)+IF($H$17=2,SpeakerCorrection2!F92,0)+IF($H$17=3,SpeakerCorrection3!F92,0)+IF($H$17=4,SpeakerCorrection4!F92,0)</f>
        <v>0</v>
      </c>
      <c r="G221" s="53">
        <f>IF($H$17=1,SpeakerCorrection1!G92,0)+IF($H$17=2,SpeakerCorrection2!G92,0)+IF($H$17=3,SpeakerCorrection3!G92,0)+IF($H$17=4,SpeakerCorrection4!G92,0)</f>
        <v>0</v>
      </c>
      <c r="H221" s="53">
        <f>IF($H$17=1,SpeakerCorrection1!H92,0)+IF($H$17=2,SpeakerCorrection2!H92,0)+IF($H$17=3,SpeakerCorrection3!H92,0)+IF($H$17=4,SpeakerCorrection4!H92,0)</f>
        <v>0</v>
      </c>
    </row>
    <row r="222" spans="1:8" ht="12" customHeight="1">
      <c r="A222" s="82"/>
      <c r="B222" s="4" t="s">
        <v>24</v>
      </c>
      <c r="C222" s="5" t="s">
        <v>130</v>
      </c>
      <c r="D222" s="2" t="s">
        <v>124</v>
      </c>
      <c r="E222" s="53">
        <f>IF($H$17=1,SpeakerCorrection1!E93,0)+IF($H$17=2,SpeakerCorrection2!E93,0)+IF($H$17=3,SpeakerCorrection3!E93,0)+IF($H$17=4,SpeakerCorrection4!E93,0)</f>
        <v>0</v>
      </c>
      <c r="F222" s="53">
        <f>IF($H$17=1,SpeakerCorrection1!F93,0)+IF($H$17=2,SpeakerCorrection2!F93,0)+IF($H$17=3,SpeakerCorrection3!F93,0)+IF($H$17=4,SpeakerCorrection4!F93,0)</f>
        <v>0</v>
      </c>
      <c r="G222" s="53">
        <f>IF($H$17=1,SpeakerCorrection1!G93,0)+IF($H$17=2,SpeakerCorrection2!G93,0)+IF($H$17=3,SpeakerCorrection3!G93,0)+IF($H$17=4,SpeakerCorrection4!G93,0)</f>
        <v>0</v>
      </c>
      <c r="H222" s="53">
        <f>IF($H$17=1,SpeakerCorrection1!H93,0)+IF($H$17=2,SpeakerCorrection2!H93,0)+IF($H$17=3,SpeakerCorrection3!H93,0)+IF($H$17=4,SpeakerCorrection4!H93,0)</f>
        <v>0</v>
      </c>
    </row>
    <row r="223" spans="1:8" ht="12" customHeight="1">
      <c r="A223" s="82"/>
      <c r="B223" s="4" t="s">
        <v>25</v>
      </c>
      <c r="C223" s="5" t="s">
        <v>130</v>
      </c>
      <c r="D223" s="2" t="s">
        <v>124</v>
      </c>
      <c r="E223" s="53">
        <f>IF($H$17=1,SpeakerCorrection1!E94,0)+IF($H$17=2,SpeakerCorrection2!E94,0)+IF($H$17=3,SpeakerCorrection3!E94,0)+IF($H$17=4,SpeakerCorrection4!E94,0)</f>
        <v>0</v>
      </c>
      <c r="F223" s="53">
        <f>IF($H$17=1,SpeakerCorrection1!F94,0)+IF($H$17=2,SpeakerCorrection2!F94,0)+IF($H$17=3,SpeakerCorrection3!F94,0)+IF($H$17=4,SpeakerCorrection4!F94,0)</f>
        <v>0</v>
      </c>
      <c r="G223" s="53">
        <f>IF($H$17=1,SpeakerCorrection1!G94,0)+IF($H$17=2,SpeakerCorrection2!G94,0)+IF($H$17=3,SpeakerCorrection3!G94,0)+IF($H$17=4,SpeakerCorrection4!G94,0)</f>
        <v>0</v>
      </c>
      <c r="H223" s="53">
        <f>IF($H$17=1,SpeakerCorrection1!H94,0)+IF($H$17=2,SpeakerCorrection2!H94,0)+IF($H$17=3,SpeakerCorrection3!H94,0)+IF($H$17=4,SpeakerCorrection4!H94,0)</f>
        <v>0</v>
      </c>
    </row>
    <row r="224" spans="1:8" ht="12" customHeight="1">
      <c r="A224" s="82"/>
      <c r="B224" s="4" t="s">
        <v>26</v>
      </c>
      <c r="C224" s="5" t="s">
        <v>130</v>
      </c>
      <c r="D224" s="2" t="s">
        <v>124</v>
      </c>
      <c r="E224" s="53">
        <f>IF($H$17=1,SpeakerCorrection1!E95,0)+IF($H$17=2,SpeakerCorrection2!E95,0)+IF($H$17=3,SpeakerCorrection3!E95,0)+IF($H$17=4,SpeakerCorrection4!E95,0)</f>
        <v>0</v>
      </c>
      <c r="F224" s="53">
        <f>IF($H$17=1,SpeakerCorrection1!F95,0)+IF($H$17=2,SpeakerCorrection2!F95,0)+IF($H$17=3,SpeakerCorrection3!F95,0)+IF($H$17=4,SpeakerCorrection4!F95,0)</f>
        <v>0</v>
      </c>
      <c r="G224" s="53">
        <f>IF($H$17=1,SpeakerCorrection1!G95,0)+IF($H$17=2,SpeakerCorrection2!G95,0)+IF($H$17=3,SpeakerCorrection3!G95,0)+IF($H$17=4,SpeakerCorrection4!G95,0)</f>
        <v>0</v>
      </c>
      <c r="H224" s="53">
        <f>IF($H$17=1,SpeakerCorrection1!H95,0)+IF($H$17=2,SpeakerCorrection2!H95,0)+IF($H$17=3,SpeakerCorrection3!H95,0)+IF($H$17=4,SpeakerCorrection4!H95,0)</f>
        <v>0</v>
      </c>
    </row>
    <row r="225" spans="1:8" ht="12" customHeight="1">
      <c r="A225" s="82"/>
      <c r="B225" s="4" t="s">
        <v>27</v>
      </c>
      <c r="C225" s="5" t="s">
        <v>130</v>
      </c>
      <c r="D225" s="2" t="s">
        <v>124</v>
      </c>
      <c r="E225" s="53">
        <f>IF($H$17=1,SpeakerCorrection1!E96,0)+IF($H$17=2,SpeakerCorrection2!E96,0)+IF($H$17=3,SpeakerCorrection3!E96,0)+IF($H$17=4,SpeakerCorrection4!E96,0)</f>
        <v>0</v>
      </c>
      <c r="F225" s="53">
        <f>IF($H$17=1,SpeakerCorrection1!F96,0)+IF($H$17=2,SpeakerCorrection2!F96,0)+IF($H$17=3,SpeakerCorrection3!F96,0)+IF($H$17=4,SpeakerCorrection4!F96,0)</f>
        <v>0</v>
      </c>
      <c r="G225" s="53">
        <f>IF($H$17=1,SpeakerCorrection1!G96,0)+IF($H$17=2,SpeakerCorrection2!G96,0)+IF($H$17=3,SpeakerCorrection3!G96,0)+IF($H$17=4,SpeakerCorrection4!G96,0)</f>
        <v>0</v>
      </c>
      <c r="H225" s="53">
        <f>IF($H$17=1,SpeakerCorrection1!H96,0)+IF($H$17=2,SpeakerCorrection2!H96,0)+IF($H$17=3,SpeakerCorrection3!H96,0)+IF($H$17=4,SpeakerCorrection4!H96,0)</f>
        <v>0</v>
      </c>
    </row>
    <row r="226" spans="1:8" ht="12" customHeight="1">
      <c r="A226" s="82"/>
      <c r="B226" s="4" t="s">
        <v>28</v>
      </c>
      <c r="C226" s="5" t="s">
        <v>130</v>
      </c>
      <c r="D226" s="2" t="s">
        <v>124</v>
      </c>
      <c r="E226" s="53">
        <f>IF($H$17=1,SpeakerCorrection1!E97,0)+IF($H$17=2,SpeakerCorrection2!E97,0)+IF($H$17=3,SpeakerCorrection3!E97,0)+IF($H$17=4,SpeakerCorrection4!E97,0)</f>
        <v>0</v>
      </c>
      <c r="F226" s="53">
        <f>IF($H$17=1,SpeakerCorrection1!F97,0)+IF($H$17=2,SpeakerCorrection2!F97,0)+IF($H$17=3,SpeakerCorrection3!F97,0)+IF($H$17=4,SpeakerCorrection4!F97,0)</f>
        <v>0</v>
      </c>
      <c r="G226" s="53">
        <f>IF($H$17=1,SpeakerCorrection1!G97,0)+IF($H$17=2,SpeakerCorrection2!G97,0)+IF($H$17=3,SpeakerCorrection3!G97,0)+IF($H$17=4,SpeakerCorrection4!G97,0)</f>
        <v>0</v>
      </c>
      <c r="H226" s="53">
        <f>IF($H$17=1,SpeakerCorrection1!H97,0)+IF($H$17=2,SpeakerCorrection2!H97,0)+IF($H$17=3,SpeakerCorrection3!H97,0)+IF($H$17=4,SpeakerCorrection4!H97,0)</f>
        <v>0</v>
      </c>
    </row>
    <row r="227" spans="1:8" ht="12" customHeight="1">
      <c r="A227" s="82"/>
      <c r="B227" s="4" t="s">
        <v>29</v>
      </c>
      <c r="C227" s="5" t="s">
        <v>130</v>
      </c>
      <c r="D227" s="2" t="s">
        <v>124</v>
      </c>
      <c r="E227" s="53">
        <f>IF($H$17=1,SpeakerCorrection1!E98,0)+IF($H$17=2,SpeakerCorrection2!E98,0)+IF($H$17=3,SpeakerCorrection3!E98,0)+IF($H$17=4,SpeakerCorrection4!E98,0)</f>
        <v>0</v>
      </c>
      <c r="F227" s="53">
        <f>IF($H$17=1,SpeakerCorrection1!F98,0)+IF($H$17=2,SpeakerCorrection2!F98,0)+IF($H$17=3,SpeakerCorrection3!F98,0)+IF($H$17=4,SpeakerCorrection4!F98,0)</f>
        <v>0</v>
      </c>
      <c r="G227" s="53">
        <f>IF($H$17=1,SpeakerCorrection1!G98,0)+IF($H$17=2,SpeakerCorrection2!G98,0)+IF($H$17=3,SpeakerCorrection3!G98,0)+IF($H$17=4,SpeakerCorrection4!G98,0)</f>
        <v>0</v>
      </c>
      <c r="H227" s="53">
        <f>IF($H$17=1,SpeakerCorrection1!H98,0)+IF($H$17=2,SpeakerCorrection2!H98,0)+IF($H$17=3,SpeakerCorrection3!H98,0)+IF($H$17=4,SpeakerCorrection4!H98,0)</f>
        <v>0</v>
      </c>
    </row>
    <row r="228" spans="1:8" ht="12" customHeight="1">
      <c r="A228" s="83"/>
      <c r="B228" s="4" t="s">
        <v>30</v>
      </c>
      <c r="C228" s="5" t="s">
        <v>130</v>
      </c>
      <c r="D228" s="2" t="s">
        <v>124</v>
      </c>
      <c r="E228" s="53">
        <f>IF($H$17=1,SpeakerCorrection1!E99,0)+IF($H$17=2,SpeakerCorrection2!E99,0)+IF($H$17=3,SpeakerCorrection3!E99,0)+IF($H$17=4,SpeakerCorrection4!E99,0)</f>
        <v>0</v>
      </c>
      <c r="F228" s="53">
        <f>IF($H$17=1,SpeakerCorrection1!F99,0)+IF($H$17=2,SpeakerCorrection2!F99,0)+IF($H$17=3,SpeakerCorrection3!F99,0)+IF($H$17=4,SpeakerCorrection4!F99,0)</f>
        <v>0</v>
      </c>
      <c r="G228" s="53">
        <f>IF($H$17=1,SpeakerCorrection1!G99,0)+IF($H$17=2,SpeakerCorrection2!G99,0)+IF($H$17=3,SpeakerCorrection3!G99,0)+IF($H$17=4,SpeakerCorrection4!G99,0)</f>
        <v>0</v>
      </c>
      <c r="H228" s="53">
        <f>IF($H$17=1,SpeakerCorrection1!H99,0)+IF($H$17=2,SpeakerCorrection2!H99,0)+IF($H$17=3,SpeakerCorrection3!H99,0)+IF($H$17=4,SpeakerCorrection4!H99,0)</f>
        <v>0</v>
      </c>
    </row>
  </sheetData>
  <sheetProtection password="BF23" sheet="1" objects="1" scenarios="1"/>
  <mergeCells count="20">
    <mergeCell ref="A18:A19"/>
    <mergeCell ref="A1:F1"/>
    <mergeCell ref="A38:A45"/>
    <mergeCell ref="A46:A52"/>
    <mergeCell ref="G16:H16"/>
    <mergeCell ref="A163:A184"/>
    <mergeCell ref="A141:A162"/>
    <mergeCell ref="A23:A30"/>
    <mergeCell ref="B20:C20"/>
    <mergeCell ref="A97:A118"/>
    <mergeCell ref="A119:A140"/>
    <mergeCell ref="A75:A96"/>
    <mergeCell ref="A53:A74"/>
    <mergeCell ref="A31:A37"/>
    <mergeCell ref="I29:L29"/>
    <mergeCell ref="M29:M30"/>
    <mergeCell ref="M31:M52"/>
    <mergeCell ref="M53:M74"/>
    <mergeCell ref="A185:A206"/>
    <mergeCell ref="A207:A228"/>
  </mergeCells>
  <printOptions horizontalCentered="1"/>
  <pageMargins left="0.7874015748031497" right="0.3937007874015748" top="0.787401574803149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2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19.375" style="0" customWidth="1"/>
    <col min="2" max="2" width="14.125" style="0" customWidth="1"/>
    <col min="3" max="4" width="5.875" style="0" customWidth="1"/>
    <col min="5" max="16" width="11.125" style="0" customWidth="1"/>
  </cols>
  <sheetData>
    <row r="1" spans="1:9" ht="15" customHeight="1">
      <c r="A1" s="88" t="s">
        <v>165</v>
      </c>
      <c r="B1" s="89"/>
      <c r="C1" s="89"/>
      <c r="D1" s="89"/>
      <c r="E1" s="89"/>
      <c r="F1" s="90"/>
      <c r="G1" s="34" t="s">
        <v>150</v>
      </c>
      <c r="H1" s="35" t="s">
        <v>149</v>
      </c>
      <c r="I1" s="65" t="s">
        <v>135</v>
      </c>
    </row>
    <row r="2" spans="1:16" ht="15" customHeight="1">
      <c r="A2" s="27"/>
      <c r="B2" s="28"/>
      <c r="C2" s="28"/>
      <c r="D2" s="28"/>
      <c r="E2" s="28"/>
      <c r="F2" s="28"/>
      <c r="G2" s="28"/>
      <c r="H2" s="29"/>
      <c r="I2" s="66" t="s">
        <v>136</v>
      </c>
      <c r="J2" s="1"/>
      <c r="K2" s="1"/>
      <c r="L2" s="1"/>
      <c r="M2" s="1"/>
      <c r="N2" s="1"/>
      <c r="O2" s="1"/>
      <c r="P2" s="1"/>
    </row>
    <row r="3" spans="1:16" ht="15" customHeight="1">
      <c r="A3" s="27"/>
      <c r="B3" s="28"/>
      <c r="C3" s="28"/>
      <c r="D3" s="28"/>
      <c r="E3" s="28"/>
      <c r="F3" s="28"/>
      <c r="G3" s="28"/>
      <c r="H3" s="29"/>
      <c r="I3" s="1" t="s">
        <v>138</v>
      </c>
      <c r="J3" s="1"/>
      <c r="K3" s="1"/>
      <c r="L3" s="1"/>
      <c r="M3" s="1"/>
      <c r="N3" s="1"/>
      <c r="O3" s="1"/>
      <c r="P3" s="1"/>
    </row>
    <row r="4" spans="1:16" ht="15" customHeight="1">
      <c r="A4" s="27"/>
      <c r="B4" s="28"/>
      <c r="C4" s="28"/>
      <c r="D4" s="28"/>
      <c r="E4" s="28"/>
      <c r="F4" s="28"/>
      <c r="G4" s="28"/>
      <c r="H4" s="29"/>
      <c r="I4" s="1" t="s">
        <v>139</v>
      </c>
      <c r="J4" s="1"/>
      <c r="K4" s="1"/>
      <c r="L4" s="1"/>
      <c r="M4" s="1"/>
      <c r="N4" s="1"/>
      <c r="O4" s="1"/>
      <c r="P4" s="1"/>
    </row>
    <row r="5" spans="1:16" ht="15" customHeight="1">
      <c r="A5" s="27"/>
      <c r="B5" s="28"/>
      <c r="C5" s="28"/>
      <c r="D5" s="28"/>
      <c r="E5" s="28"/>
      <c r="F5" s="28"/>
      <c r="G5" s="28"/>
      <c r="H5" s="29"/>
      <c r="I5" s="1" t="s">
        <v>140</v>
      </c>
      <c r="J5" s="1"/>
      <c r="K5" s="1"/>
      <c r="L5" s="1"/>
      <c r="M5" s="1"/>
      <c r="N5" s="1"/>
      <c r="O5" s="1"/>
      <c r="P5" s="1"/>
    </row>
    <row r="6" spans="1:16" ht="15" customHeight="1">
      <c r="A6" s="27"/>
      <c r="B6" s="28"/>
      <c r="C6" s="28"/>
      <c r="D6" s="28"/>
      <c r="E6" s="28"/>
      <c r="F6" s="28"/>
      <c r="G6" s="28"/>
      <c r="H6" s="29"/>
      <c r="I6" s="66" t="s">
        <v>137</v>
      </c>
      <c r="J6" s="1"/>
      <c r="K6" s="1"/>
      <c r="L6" s="1"/>
      <c r="M6" s="1"/>
      <c r="N6" s="1"/>
      <c r="O6" s="1"/>
      <c r="P6" s="1"/>
    </row>
    <row r="7" spans="1:16" ht="15" customHeight="1">
      <c r="A7" s="27"/>
      <c r="B7" s="28"/>
      <c r="C7" s="28"/>
      <c r="D7" s="28"/>
      <c r="E7" s="28"/>
      <c r="F7" s="28"/>
      <c r="G7" s="28"/>
      <c r="H7" s="29"/>
      <c r="I7" s="1" t="s">
        <v>141</v>
      </c>
      <c r="J7" s="1"/>
      <c r="K7" s="1"/>
      <c r="L7" s="1"/>
      <c r="M7" s="1"/>
      <c r="N7" s="1"/>
      <c r="O7" s="1"/>
      <c r="P7" s="1"/>
    </row>
    <row r="8" spans="1:16" ht="15" customHeight="1">
      <c r="A8" s="27"/>
      <c r="B8" s="28"/>
      <c r="C8" s="28"/>
      <c r="D8" s="28"/>
      <c r="E8" s="28"/>
      <c r="F8" s="28"/>
      <c r="G8" s="28"/>
      <c r="H8" s="29"/>
      <c r="I8" s="1" t="s">
        <v>142</v>
      </c>
      <c r="J8" s="1"/>
      <c r="K8" s="1"/>
      <c r="L8" s="1"/>
      <c r="M8" s="1"/>
      <c r="N8" s="1"/>
      <c r="O8" s="1"/>
      <c r="P8" s="1"/>
    </row>
    <row r="9" spans="1:16" ht="15" customHeight="1">
      <c r="A9" s="27"/>
      <c r="B9" s="28"/>
      <c r="C9" s="28"/>
      <c r="D9" s="28"/>
      <c r="E9" s="28"/>
      <c r="F9" s="28"/>
      <c r="G9" s="28"/>
      <c r="H9" s="29"/>
      <c r="I9" s="1" t="s">
        <v>143</v>
      </c>
      <c r="J9" s="1"/>
      <c r="K9" s="1"/>
      <c r="L9" s="1"/>
      <c r="M9" s="1"/>
      <c r="N9" s="1"/>
      <c r="O9" s="1"/>
      <c r="P9" s="1"/>
    </row>
    <row r="10" spans="1:16" ht="15" customHeight="1">
      <c r="A10" s="27"/>
      <c r="B10" s="28"/>
      <c r="C10" s="28"/>
      <c r="D10" s="28"/>
      <c r="E10" s="28"/>
      <c r="F10" s="28"/>
      <c r="G10" s="28"/>
      <c r="H10" s="29"/>
      <c r="I10" s="1" t="s">
        <v>144</v>
      </c>
      <c r="J10" s="1"/>
      <c r="K10" s="1"/>
      <c r="L10" s="1"/>
      <c r="M10" s="1"/>
      <c r="N10" s="1"/>
      <c r="O10" s="1"/>
      <c r="P10" s="1"/>
    </row>
    <row r="11" spans="1:16" ht="15" customHeight="1">
      <c r="A11" s="27"/>
      <c r="B11" s="28"/>
      <c r="C11" s="28"/>
      <c r="D11" s="28"/>
      <c r="E11" s="28"/>
      <c r="F11" s="28"/>
      <c r="G11" s="28"/>
      <c r="H11" s="29"/>
      <c r="I11" s="1" t="s">
        <v>145</v>
      </c>
      <c r="J11" s="1"/>
      <c r="K11" s="1"/>
      <c r="L11" s="1"/>
      <c r="M11" s="1"/>
      <c r="N11" s="1"/>
      <c r="O11" s="1"/>
      <c r="P11" s="1"/>
    </row>
    <row r="12" spans="1:16" ht="15" customHeight="1">
      <c r="A12" s="27"/>
      <c r="B12" s="28"/>
      <c r="C12" s="28"/>
      <c r="D12" s="28"/>
      <c r="E12" s="28"/>
      <c r="F12" s="28"/>
      <c r="G12" s="28"/>
      <c r="H12" s="29"/>
      <c r="I12" s="1" t="s">
        <v>147</v>
      </c>
      <c r="J12" s="1"/>
      <c r="K12" s="1"/>
      <c r="L12" s="1"/>
      <c r="M12" s="1"/>
      <c r="N12" s="1"/>
      <c r="O12" s="1"/>
      <c r="P12" s="1"/>
    </row>
    <row r="13" spans="1:16" ht="15" customHeight="1">
      <c r="A13" s="27"/>
      <c r="B13" s="28"/>
      <c r="C13" s="28"/>
      <c r="D13" s="28"/>
      <c r="E13" s="28"/>
      <c r="F13" s="28"/>
      <c r="G13" s="28"/>
      <c r="H13" s="29"/>
      <c r="I13" s="1" t="s">
        <v>146</v>
      </c>
      <c r="J13" s="1"/>
      <c r="K13" s="1"/>
      <c r="L13" s="1"/>
      <c r="M13" s="1"/>
      <c r="N13" s="1"/>
      <c r="O13" s="1"/>
      <c r="P13" s="1"/>
    </row>
    <row r="14" spans="1:16" ht="15" customHeight="1">
      <c r="A14" s="27"/>
      <c r="B14" s="28"/>
      <c r="C14" s="28"/>
      <c r="D14" s="28"/>
      <c r="E14" s="28"/>
      <c r="F14" s="28"/>
      <c r="G14" s="28"/>
      <c r="H14" s="29"/>
      <c r="I14" s="124" t="s">
        <v>218</v>
      </c>
      <c r="J14" s="1"/>
      <c r="K14" s="1"/>
      <c r="L14" s="1"/>
      <c r="M14" s="1"/>
      <c r="N14" s="1"/>
      <c r="O14" s="1"/>
      <c r="P14" s="1"/>
    </row>
    <row r="15" spans="1:16" ht="15" customHeight="1">
      <c r="A15" s="30"/>
      <c r="B15" s="31"/>
      <c r="C15" s="31"/>
      <c r="D15" s="31"/>
      <c r="E15" s="31"/>
      <c r="F15" s="31"/>
      <c r="G15" s="31"/>
      <c r="H15" s="32"/>
      <c r="I15" s="123" t="s">
        <v>219</v>
      </c>
      <c r="J15" s="1"/>
      <c r="K15" s="1"/>
      <c r="L15" s="1"/>
      <c r="M15" s="1"/>
      <c r="N15" s="1"/>
      <c r="O15" s="1"/>
      <c r="P15" s="1"/>
    </row>
    <row r="16" spans="1:16" ht="15" customHeight="1">
      <c r="A16" s="13" t="s">
        <v>92</v>
      </c>
      <c r="B16" s="12" t="s">
        <v>99</v>
      </c>
      <c r="C16" s="13" t="s">
        <v>162</v>
      </c>
      <c r="D16" s="2" t="s">
        <v>130</v>
      </c>
      <c r="E16" s="18">
        <v>4000</v>
      </c>
      <c r="F16" s="18">
        <v>500</v>
      </c>
      <c r="G16" s="84" t="s">
        <v>217</v>
      </c>
      <c r="H16" s="85"/>
      <c r="I16" s="125" t="s">
        <v>220</v>
      </c>
      <c r="J16" s="1"/>
      <c r="K16" s="1"/>
      <c r="L16" s="1"/>
      <c r="M16" s="1"/>
      <c r="N16" s="1"/>
      <c r="O16" s="1"/>
      <c r="P16" s="1"/>
    </row>
    <row r="17" spans="1:16" ht="15" customHeight="1">
      <c r="A17" s="39" t="s">
        <v>93</v>
      </c>
      <c r="B17" s="12" t="s">
        <v>100</v>
      </c>
      <c r="C17" s="13"/>
      <c r="D17" s="2" t="s">
        <v>128</v>
      </c>
      <c r="E17" s="57" t="s">
        <v>180</v>
      </c>
      <c r="F17" s="36"/>
      <c r="G17" s="43" t="s">
        <v>113</v>
      </c>
      <c r="H17" s="44"/>
      <c r="I17" s="123" t="s">
        <v>221</v>
      </c>
      <c r="J17" s="1"/>
      <c r="K17" s="1"/>
      <c r="L17" s="1"/>
      <c r="M17" s="1"/>
      <c r="N17" s="1"/>
      <c r="O17" s="1"/>
      <c r="P17" s="1"/>
    </row>
    <row r="18" spans="1:16" ht="15" customHeight="1">
      <c r="A18" s="93" t="s">
        <v>94</v>
      </c>
      <c r="B18" s="12" t="s">
        <v>101</v>
      </c>
      <c r="C18" s="13" t="s">
        <v>168</v>
      </c>
      <c r="D18" s="2" t="s">
        <v>131</v>
      </c>
      <c r="E18" s="3">
        <f>$H$21*10^3/(2*PI()*E$16)*2^0.5</f>
        <v>0.33761861855891484</v>
      </c>
      <c r="F18" s="3">
        <f>$H$21*10^3/(2*PI()*E$16)*2^0.5</f>
        <v>0.33761861855891484</v>
      </c>
      <c r="G18" s="3">
        <f>$H$21*10^3/(2*PI()*F$16)</f>
        <v>1.9098593171027443</v>
      </c>
      <c r="H18" s="3"/>
      <c r="I18" s="123" t="s">
        <v>222</v>
      </c>
      <c r="J18" s="1"/>
      <c r="K18" s="1"/>
      <c r="L18" s="1"/>
      <c r="M18" s="1"/>
      <c r="N18" s="1"/>
      <c r="O18" s="1"/>
      <c r="P18" s="1"/>
    </row>
    <row r="19" spans="1:16" ht="15" customHeight="1">
      <c r="A19" s="94"/>
      <c r="B19" s="12" t="s">
        <v>102</v>
      </c>
      <c r="C19" s="13" t="s">
        <v>169</v>
      </c>
      <c r="D19" s="67" t="s">
        <v>132</v>
      </c>
      <c r="E19" s="3">
        <f>10^6/(2*PI()*E$16*$H$21)/2^0.5</f>
        <v>4.6891474799849275</v>
      </c>
      <c r="F19" s="3">
        <f>10^6/(2*PI()*E$16*$H$21)/2^0.5</f>
        <v>4.6891474799849275</v>
      </c>
      <c r="G19" s="3">
        <f>10^6/(2*PI()*F$16*$H$21)</f>
        <v>53.05164769729845</v>
      </c>
      <c r="H19" s="3"/>
      <c r="I19" s="123" t="s">
        <v>223</v>
      </c>
      <c r="J19" s="1"/>
      <c r="K19" s="1"/>
      <c r="L19" s="1"/>
      <c r="M19" s="1"/>
      <c r="N19" s="1"/>
      <c r="O19" s="1"/>
      <c r="P19" s="1"/>
    </row>
    <row r="20" spans="1:16" ht="12" customHeight="1">
      <c r="A20" s="33" t="s">
        <v>95</v>
      </c>
      <c r="B20" s="91" t="s">
        <v>103</v>
      </c>
      <c r="C20" s="92"/>
      <c r="D20" s="33" t="s">
        <v>111</v>
      </c>
      <c r="E20" s="2" t="s">
        <v>148</v>
      </c>
      <c r="F20" s="2" t="s">
        <v>151</v>
      </c>
      <c r="G20" s="2" t="s">
        <v>155</v>
      </c>
      <c r="H20" s="2" t="s">
        <v>152</v>
      </c>
      <c r="I20" s="123" t="s">
        <v>224</v>
      </c>
      <c r="J20" s="1"/>
      <c r="K20" s="1"/>
      <c r="L20" s="1"/>
      <c r="M20" s="1"/>
      <c r="N20" s="1"/>
      <c r="O20" s="1"/>
      <c r="P20" s="1"/>
    </row>
    <row r="21" spans="1:16" ht="12" customHeight="1">
      <c r="A21" s="13" t="s">
        <v>96</v>
      </c>
      <c r="B21" s="16" t="s">
        <v>182</v>
      </c>
      <c r="C21" s="17" t="s">
        <v>75</v>
      </c>
      <c r="D21" s="2" t="s">
        <v>127</v>
      </c>
      <c r="E21" s="46">
        <v>6</v>
      </c>
      <c r="F21" s="46">
        <v>6</v>
      </c>
      <c r="G21" s="46">
        <v>6</v>
      </c>
      <c r="H21" s="19">
        <v>6</v>
      </c>
      <c r="I21" s="123" t="s">
        <v>225</v>
      </c>
      <c r="J21" s="1"/>
      <c r="K21" s="1"/>
      <c r="L21" s="1"/>
      <c r="M21" s="1"/>
      <c r="N21" s="1"/>
      <c r="O21" s="1"/>
      <c r="P21" s="1"/>
    </row>
    <row r="22" spans="1:16" ht="12" customHeight="1">
      <c r="A22" s="12" t="s">
        <v>97</v>
      </c>
      <c r="B22" s="16" t="s">
        <v>182</v>
      </c>
      <c r="C22" s="13" t="s">
        <v>86</v>
      </c>
      <c r="D22" s="2" t="s">
        <v>133</v>
      </c>
      <c r="E22" s="46">
        <v>91</v>
      </c>
      <c r="F22" s="46">
        <v>91</v>
      </c>
      <c r="G22" s="46">
        <v>91</v>
      </c>
      <c r="H22" s="8">
        <v>91</v>
      </c>
      <c r="I22" s="1"/>
      <c r="J22" s="1"/>
      <c r="K22" s="1"/>
      <c r="L22" s="1"/>
      <c r="M22" s="1"/>
      <c r="N22" s="1"/>
      <c r="O22" s="1"/>
      <c r="P22" s="1"/>
    </row>
    <row r="23" spans="1:16" ht="12" customHeight="1">
      <c r="A23" s="95" t="s">
        <v>98</v>
      </c>
      <c r="B23" s="12" t="s">
        <v>107</v>
      </c>
      <c r="C23" s="13" t="s">
        <v>87</v>
      </c>
      <c r="D23" s="2" t="s">
        <v>134</v>
      </c>
      <c r="E23" s="8">
        <v>6</v>
      </c>
      <c r="F23" s="8">
        <v>6</v>
      </c>
      <c r="G23" s="8">
        <v>6</v>
      </c>
      <c r="H23" s="23"/>
      <c r="I23" s="1"/>
      <c r="J23" s="1"/>
      <c r="K23" s="1"/>
      <c r="L23" s="1"/>
      <c r="M23" s="1"/>
      <c r="N23" s="1"/>
      <c r="O23" s="1"/>
      <c r="P23" s="1"/>
    </row>
    <row r="24" spans="1:16" ht="12" customHeight="1">
      <c r="A24" s="96"/>
      <c r="B24" s="12" t="s">
        <v>104</v>
      </c>
      <c r="C24" s="13" t="s">
        <v>85</v>
      </c>
      <c r="D24" s="2" t="s">
        <v>133</v>
      </c>
      <c r="E24" s="8">
        <v>91</v>
      </c>
      <c r="F24" s="8">
        <v>91</v>
      </c>
      <c r="G24" s="8">
        <v>91</v>
      </c>
      <c r="H24" s="14"/>
      <c r="I24" s="1"/>
      <c r="J24" s="1"/>
      <c r="K24" s="1"/>
      <c r="L24" s="1"/>
      <c r="M24" s="1"/>
      <c r="N24" s="1"/>
      <c r="O24" s="1"/>
      <c r="P24" s="1"/>
    </row>
    <row r="25" spans="1:16" ht="12" customHeight="1">
      <c r="A25" s="96"/>
      <c r="B25" s="12" t="s">
        <v>105</v>
      </c>
      <c r="C25" s="13" t="s">
        <v>12</v>
      </c>
      <c r="D25" s="2"/>
      <c r="E25" s="9">
        <v>1</v>
      </c>
      <c r="F25" s="9">
        <v>1</v>
      </c>
      <c r="G25" s="9">
        <v>1</v>
      </c>
      <c r="H25" s="14"/>
      <c r="I25" s="1"/>
      <c r="J25" s="1"/>
      <c r="K25" s="1"/>
      <c r="L25" s="1"/>
      <c r="M25" s="1"/>
      <c r="N25" s="1"/>
      <c r="O25" s="1"/>
      <c r="P25" s="1"/>
    </row>
    <row r="26" spans="1:16" ht="12" customHeight="1">
      <c r="A26" s="96"/>
      <c r="B26" s="12" t="s">
        <v>106</v>
      </c>
      <c r="C26" s="13" t="s">
        <v>153</v>
      </c>
      <c r="D26" s="2" t="s">
        <v>134</v>
      </c>
      <c r="E26" s="14" t="str">
        <f>IF(E$21*E$22*E$23*E$24=0,"",IF(E$25=0,"",IF(E$22&gt;E$24+10*LOG(E$21/E$23),"Unable",IF(E$23/(10^((E$22-E$24-10*LOG(E$21/E$23))/20))-E$21=0,"Blank",IF(E$25=0,"",E$21*E$23/ABS(E$23/(10^((E$22-E$24-10*LOG(E$21/E$23))/20))-E$21))))))</f>
        <v>Blank</v>
      </c>
      <c r="F26" s="14" t="str">
        <f>IF(F$21*F$22*F$23*F$24=0,"",IF(F$25=0,"",IF(F$22&gt;F$24+10*LOG(F$21/F$23),"Unable",IF(F$23/(10^((F$22-F$24-10*LOG(F$21/F$23))/20))-F$21=0,"Blank",IF(F$25=0,"",F$21*F$23/ABS(F$23/(10^((F$22-F$24-10*LOG(F$21/F$23))/20))-F$21))))))</f>
        <v>Blank</v>
      </c>
      <c r="G26" s="14" t="str">
        <f>IF(G$21*G$22*G$23*G$24=0,"",IF(G$25=0,"",IF(G$22&gt;G$24+10*LOG(G$21/G$23),"Unable",IF(G$23/(10^((G$22-G$24-10*LOG(G$21/G$23))/20))-G$21=0,"Blank",IF(G$25=0,"",G$21*G$23/ABS(G$23/(10^((G$22-G$24-10*LOG(G$21/G$23))/20))-G$21))))))</f>
        <v>Blank</v>
      </c>
      <c r="H26" s="23"/>
      <c r="I26" s="1"/>
      <c r="J26" s="1"/>
      <c r="K26" s="1"/>
      <c r="L26" s="1"/>
      <c r="M26" s="1"/>
      <c r="N26" s="1"/>
      <c r="O26" s="1"/>
      <c r="P26" s="1"/>
    </row>
    <row r="27" spans="1:16" ht="12" customHeight="1">
      <c r="A27" s="96"/>
      <c r="B27" s="12" t="s">
        <v>108</v>
      </c>
      <c r="C27" s="13" t="s">
        <v>154</v>
      </c>
      <c r="D27" s="2" t="s">
        <v>134</v>
      </c>
      <c r="E27" s="14">
        <f>IF(E$21*E$22*E$23*E$24=0,"",IF(E$25=0,"",IF(E$24+E$30&lt;E$22,"Unable",IF(E$26="Unable","Unable",IF(E$26="Blank",E$21-E$23,E$21-E$26*E$23/(E$26+E$23))))))</f>
        <v>0</v>
      </c>
      <c r="F27" s="14">
        <f>IF(F$21*F$22*F$23*F$24=0,"",IF(F$25=0,"",IF(F$24+F$30&lt;F$22,"Unable",IF(F$26="Unable","Unable",IF(F$26="Blank",F$21-F$23,F$21-F$26*F$23/(F$26+F$23))))))</f>
        <v>0</v>
      </c>
      <c r="G27" s="14">
        <f>IF(G$21*G$22*G$23*G$24=0,"",IF(G$25=0,"",IF(G$24+G$30&lt;G$22,"Unable",IF(G$26="Unable","Unable",IF(G$26="Blank",G$21-G$23,G$21-G$26*G$23/(G$26+G$23))))))</f>
        <v>0</v>
      </c>
      <c r="H27" s="14"/>
      <c r="I27" s="1"/>
      <c r="J27" s="1"/>
      <c r="K27" s="1"/>
      <c r="L27" s="1"/>
      <c r="M27" s="1"/>
      <c r="N27" s="1"/>
      <c r="O27" s="1"/>
      <c r="P27" s="1"/>
    </row>
    <row r="28" spans="1:16" ht="12" customHeight="1">
      <c r="A28" s="96"/>
      <c r="B28" s="12" t="s">
        <v>109</v>
      </c>
      <c r="C28" s="22" t="s">
        <v>76</v>
      </c>
      <c r="D28" s="2" t="s">
        <v>134</v>
      </c>
      <c r="E28" s="23">
        <f>IF(E$21*E$22*E$23*E$24=0,"",IF(E$25=1,E$21,E$23))</f>
        <v>6</v>
      </c>
      <c r="F28" s="23">
        <f>IF(F$21*F$22*F$23*F$24=0,"",IF(F$25=1,F$21,F$23))</f>
        <v>6</v>
      </c>
      <c r="G28" s="23">
        <f>IF(G$21*G$22*G$23*G$24=0,"",IF(G$25=1,G$21,G$23))</f>
        <v>6</v>
      </c>
      <c r="H28" s="14"/>
      <c r="I28" s="1"/>
      <c r="J28" s="1"/>
      <c r="K28" s="1"/>
      <c r="L28" s="1"/>
      <c r="M28" s="1"/>
      <c r="N28" s="1"/>
      <c r="O28" s="1"/>
      <c r="P28" s="1"/>
    </row>
    <row r="29" spans="1:16" ht="12" customHeight="1">
      <c r="A29" s="96"/>
      <c r="B29" s="12" t="s">
        <v>110</v>
      </c>
      <c r="C29" s="13" t="s">
        <v>77</v>
      </c>
      <c r="D29" s="2" t="s">
        <v>112</v>
      </c>
      <c r="E29" s="14">
        <f>IF(E$21*E$22*E$23*E$24=0,"",10^(E$30/20))</f>
        <v>1</v>
      </c>
      <c r="F29" s="14">
        <f>IF(F$21*F$22*F$23*F$24=0,"",10^(F$30/20))</f>
        <v>1</v>
      </c>
      <c r="G29" s="14">
        <f>IF(G$21*G$22*G$23*G$24=0,"",10^(G$30/20))</f>
        <v>1</v>
      </c>
      <c r="H29" s="14"/>
      <c r="I29" s="73" t="s">
        <v>210</v>
      </c>
      <c r="J29" s="74"/>
      <c r="K29" s="74"/>
      <c r="L29" s="75"/>
      <c r="M29" s="76"/>
      <c r="N29" s="1"/>
      <c r="O29" s="1"/>
      <c r="P29" s="1"/>
    </row>
    <row r="30" spans="1:16" ht="12" customHeight="1">
      <c r="A30" s="97"/>
      <c r="B30" s="12" t="s">
        <v>110</v>
      </c>
      <c r="C30" s="13" t="s">
        <v>77</v>
      </c>
      <c r="D30" s="2" t="s">
        <v>125</v>
      </c>
      <c r="E30" s="14">
        <f>IF(E$21*E$22*E$23*E$24=0,"",IF(E$25=1,0,E$24-E$22+10*LOG(E$21/E$23)))</f>
        <v>0</v>
      </c>
      <c r="F30" s="14">
        <f>IF(F$21*F$22*F$23*F$24=0,"",IF(F$25=1,0,F$24-F$22+10*LOG(F$21/F$23)))</f>
        <v>0</v>
      </c>
      <c r="G30" s="14">
        <f>IF(G$21*G$22*G$23*G$24=0,"",IF(G$25=1,0,G$24-G$22+10*LOG(G$21/G$23)))</f>
        <v>0</v>
      </c>
      <c r="H30" s="14"/>
      <c r="I30" s="2" t="s">
        <v>211</v>
      </c>
      <c r="J30" s="2" t="s">
        <v>212</v>
      </c>
      <c r="K30" s="2" t="s">
        <v>213</v>
      </c>
      <c r="L30" s="2" t="s">
        <v>214</v>
      </c>
      <c r="M30" s="77"/>
      <c r="N30" s="1"/>
      <c r="O30" s="1"/>
      <c r="P30" s="1"/>
    </row>
    <row r="31" spans="1:13" ht="12" customHeight="1">
      <c r="A31" s="81" t="s">
        <v>114</v>
      </c>
      <c r="B31" s="4">
        <v>20</v>
      </c>
      <c r="C31" s="5" t="s">
        <v>130</v>
      </c>
      <c r="D31" s="68" t="s">
        <v>129</v>
      </c>
      <c r="E31" s="3">
        <f>6/(H141^2+H163^2)^0.5/$H$21</f>
        <v>5.999849998378827</v>
      </c>
      <c r="F31" s="3"/>
      <c r="G31" s="58" t="s">
        <v>161</v>
      </c>
      <c r="H31" s="3">
        <f>10*LOG((10^((IF($H$17=0,0,E185)+E$22-H$22+E$30+20*LOG(E119/(F141^2*E97^2*E119^2+(E97*(1+F163*E119)-E119)^2)^0.5*E$28/(E$28^2+G97^2)^0.5))/20))^2+(10^((IF($H$17=0,0,F185)+F$22-H$22+F$30+20*LOG(E119/(F141^2*E97^2*E119^2+(E97*(1+F163*E119)-E119)^2)^0.5*F$28/(F$28^2+G119^2)^0.5))/20))^2+(10^((IF($H$17=0,0,G185)+G$22-H$22+G$30+20*LOG(G$28*F97/(F97^2*F119^2+G$28^2*(F97-F119)^2)^0.5))/20))^2)+$L31</f>
        <v>0</v>
      </c>
      <c r="I31" s="71"/>
      <c r="J31" s="71"/>
      <c r="K31" s="71"/>
      <c r="L31" s="72">
        <v>0</v>
      </c>
      <c r="M31" s="78" t="s">
        <v>215</v>
      </c>
    </row>
    <row r="32" spans="1:13" ht="12" customHeight="1">
      <c r="A32" s="86"/>
      <c r="B32" s="4">
        <v>30</v>
      </c>
      <c r="C32" s="5" t="s">
        <v>130</v>
      </c>
      <c r="D32" s="68" t="s">
        <v>129</v>
      </c>
      <c r="E32" s="3">
        <f aca="true" t="shared" si="0" ref="E32:E52">6/(H142^2+H164^2)^0.5/$H$21</f>
        <v>5.999999999999999</v>
      </c>
      <c r="F32" s="3"/>
      <c r="G32" s="3">
        <f>IF(ABS($H76-$H75)&gt;180,ABS(360-ABS($H76-$H75))/($B98-$B97),ABS($H76-$H75)/($B98-$B97))*10</f>
        <v>0.2025790181187621</v>
      </c>
      <c r="H32" s="3">
        <f aca="true" t="shared" si="1" ref="H32:H52">10*LOG((10^((IF($H$17=0,0,E186)+E$22-H$22+E$30+20*LOG(E120/(F142^2*E98^2*E120^2+(E98*(1+F164*E120)-E120)^2)^0.5*E$28/(E$28^2+G98^2)^0.5))/20))^2+(10^((IF($H$17=0,0,F186)+F$22-H$22+F$30+20*LOG(E120/(F142^2*E98^2*E120^2+(E98*(1+F164*E120)-E120)^2)^0.5*F$28/(F$28^2+G120^2)^0.5))/20))^2+(10^((IF($H$17=0,0,G186)+G$22-H$22+G$30+20*LOG(G$28*F98/(F98^2*F120^2+G$28^2*(F98-F120)^2)^0.5))/20))^2)+$L32</f>
        <v>1.928654933106574E-15</v>
      </c>
      <c r="I32" s="71"/>
      <c r="J32" s="71"/>
      <c r="K32" s="71"/>
      <c r="L32" s="72">
        <v>0</v>
      </c>
      <c r="M32" s="79"/>
    </row>
    <row r="33" spans="1:13" ht="12" customHeight="1">
      <c r="A33" s="86"/>
      <c r="B33" s="4">
        <v>40</v>
      </c>
      <c r="C33" s="5" t="s">
        <v>130</v>
      </c>
      <c r="D33" s="68" t="s">
        <v>129</v>
      </c>
      <c r="E33" s="3">
        <f t="shared" si="0"/>
        <v>5.999999999999999</v>
      </c>
      <c r="F33" s="3"/>
      <c r="G33" s="3">
        <f aca="true" t="shared" si="2" ref="G33:G52">IF(ABS($H77-$H76)&gt;180,ABS(360-ABS($H77-$H76))/($B99-$B98),ABS($H77-$H76)/($B99-$B98))*10</f>
        <v>0.20258661361622</v>
      </c>
      <c r="H33" s="3">
        <f t="shared" si="1"/>
        <v>1.928654933106574E-15</v>
      </c>
      <c r="I33" s="71"/>
      <c r="J33" s="71"/>
      <c r="K33" s="71"/>
      <c r="L33" s="72">
        <v>0</v>
      </c>
      <c r="M33" s="79"/>
    </row>
    <row r="34" spans="1:13" ht="12" customHeight="1">
      <c r="A34" s="86"/>
      <c r="B34" s="4">
        <v>50</v>
      </c>
      <c r="C34" s="5" t="s">
        <v>130</v>
      </c>
      <c r="D34" s="68" t="s">
        <v>129</v>
      </c>
      <c r="E34" s="3">
        <f t="shared" si="0"/>
        <v>5.999999999999999</v>
      </c>
      <c r="F34" s="3"/>
      <c r="G34" s="3">
        <f t="shared" si="2"/>
        <v>0.20259674005981143</v>
      </c>
      <c r="H34" s="3">
        <f t="shared" si="1"/>
        <v>9.64327466553287E-16</v>
      </c>
      <c r="I34" s="71"/>
      <c r="J34" s="71"/>
      <c r="K34" s="71"/>
      <c r="L34" s="72">
        <v>0</v>
      </c>
      <c r="M34" s="79"/>
    </row>
    <row r="35" spans="1:13" ht="12" customHeight="1">
      <c r="A35" s="86"/>
      <c r="B35" s="4">
        <v>70</v>
      </c>
      <c r="C35" s="5" t="s">
        <v>130</v>
      </c>
      <c r="D35" s="68" t="s">
        <v>129</v>
      </c>
      <c r="E35" s="3">
        <f t="shared" si="0"/>
        <v>5.999999999999999</v>
      </c>
      <c r="F35" s="3"/>
      <c r="G35" s="3">
        <f t="shared" si="2"/>
        <v>0.2026169896219383</v>
      </c>
      <c r="H35" s="3">
        <f t="shared" si="1"/>
        <v>9.64327466553287E-16</v>
      </c>
      <c r="I35" s="71"/>
      <c r="J35" s="71"/>
      <c r="K35" s="71"/>
      <c r="L35" s="72">
        <v>0</v>
      </c>
      <c r="M35" s="79"/>
    </row>
    <row r="36" spans="1:13" ht="12" customHeight="1">
      <c r="A36" s="86"/>
      <c r="B36" s="4">
        <v>100</v>
      </c>
      <c r="C36" s="5" t="s">
        <v>130</v>
      </c>
      <c r="D36" s="68" t="s">
        <v>129</v>
      </c>
      <c r="E36" s="3">
        <f t="shared" si="0"/>
        <v>5.999999999999999</v>
      </c>
      <c r="F36" s="3"/>
      <c r="G36" s="3">
        <f t="shared" si="2"/>
        <v>0.20266337898529496</v>
      </c>
      <c r="H36" s="3">
        <f t="shared" si="1"/>
        <v>0</v>
      </c>
      <c r="I36" s="71"/>
      <c r="J36" s="71"/>
      <c r="K36" s="71"/>
      <c r="L36" s="72">
        <v>0</v>
      </c>
      <c r="M36" s="79"/>
    </row>
    <row r="37" spans="1:13" ht="12" customHeight="1">
      <c r="A37" s="86"/>
      <c r="B37" s="4">
        <v>150</v>
      </c>
      <c r="C37" s="5" t="s">
        <v>130</v>
      </c>
      <c r="D37" s="68" t="s">
        <v>129</v>
      </c>
      <c r="E37" s="3">
        <f t="shared" si="0"/>
        <v>6</v>
      </c>
      <c r="F37" s="3"/>
      <c r="G37" s="3">
        <f t="shared" si="2"/>
        <v>0.20277125164774254</v>
      </c>
      <c r="H37" s="3">
        <f t="shared" si="1"/>
        <v>1.928654933106574E-15</v>
      </c>
      <c r="I37" s="71"/>
      <c r="J37" s="71"/>
      <c r="K37" s="71"/>
      <c r="L37" s="72">
        <v>0</v>
      </c>
      <c r="M37" s="79"/>
    </row>
    <row r="38" spans="1:13" ht="12" customHeight="1">
      <c r="A38" s="82" t="s">
        <v>167</v>
      </c>
      <c r="B38" s="4">
        <v>200</v>
      </c>
      <c r="C38" s="5" t="s">
        <v>130</v>
      </c>
      <c r="D38" s="68" t="s">
        <v>129</v>
      </c>
      <c r="E38" s="3">
        <f t="shared" si="0"/>
        <v>6</v>
      </c>
      <c r="F38" s="3"/>
      <c r="G38" s="3">
        <f t="shared" si="2"/>
        <v>0.20296059650818882</v>
      </c>
      <c r="H38" s="3">
        <f t="shared" si="1"/>
        <v>9.64327466553287E-16</v>
      </c>
      <c r="I38" s="71"/>
      <c r="J38" s="71"/>
      <c r="K38" s="71"/>
      <c r="L38" s="72">
        <v>0</v>
      </c>
      <c r="M38" s="79"/>
    </row>
    <row r="39" spans="1:13" ht="12" customHeight="1">
      <c r="A39" s="86"/>
      <c r="B39" s="4">
        <v>300</v>
      </c>
      <c r="C39" s="5" t="s">
        <v>130</v>
      </c>
      <c r="D39" s="68" t="s">
        <v>129</v>
      </c>
      <c r="E39" s="3">
        <f t="shared" si="0"/>
        <v>6</v>
      </c>
      <c r="F39" s="3"/>
      <c r="G39" s="3">
        <f t="shared" si="2"/>
        <v>0.2033694884921122</v>
      </c>
      <c r="H39" s="3">
        <f t="shared" si="1"/>
        <v>-1.446491199829931E-15</v>
      </c>
      <c r="I39" s="71"/>
      <c r="J39" s="71"/>
      <c r="K39" s="71"/>
      <c r="L39" s="72">
        <v>0</v>
      </c>
      <c r="M39" s="79"/>
    </row>
    <row r="40" spans="1:13" ht="12" customHeight="1">
      <c r="A40" s="86"/>
      <c r="B40" s="4">
        <v>400</v>
      </c>
      <c r="C40" s="5" t="s">
        <v>130</v>
      </c>
      <c r="D40" s="68" t="s">
        <v>129</v>
      </c>
      <c r="E40" s="3">
        <f t="shared" si="0"/>
        <v>6</v>
      </c>
      <c r="F40" s="3"/>
      <c r="G40" s="3">
        <f t="shared" si="2"/>
        <v>0.20412002276719646</v>
      </c>
      <c r="H40" s="3">
        <f t="shared" si="1"/>
        <v>0</v>
      </c>
      <c r="I40" s="71"/>
      <c r="J40" s="71"/>
      <c r="K40" s="71"/>
      <c r="L40" s="72">
        <v>0</v>
      </c>
      <c r="M40" s="79"/>
    </row>
    <row r="41" spans="1:13" ht="12" customHeight="1">
      <c r="A41" s="86"/>
      <c r="B41" s="4">
        <v>500</v>
      </c>
      <c r="C41" s="5" t="s">
        <v>130</v>
      </c>
      <c r="D41" s="68" t="s">
        <v>129</v>
      </c>
      <c r="E41" s="3">
        <f t="shared" si="0"/>
        <v>5.999999999999999</v>
      </c>
      <c r="F41" s="3"/>
      <c r="G41" s="3">
        <f t="shared" si="2"/>
        <v>0.20511165513546495</v>
      </c>
      <c r="H41" s="3">
        <f t="shared" si="1"/>
        <v>-9.643274665532871E-16</v>
      </c>
      <c r="I41" s="71"/>
      <c r="J41" s="71"/>
      <c r="K41" s="71"/>
      <c r="L41" s="72">
        <v>0</v>
      </c>
      <c r="M41" s="79"/>
    </row>
    <row r="42" spans="1:13" ht="12" customHeight="1">
      <c r="A42" s="86"/>
      <c r="B42" s="4">
        <v>700</v>
      </c>
      <c r="C42" s="5" t="s">
        <v>130</v>
      </c>
      <c r="D42" s="68" t="s">
        <v>129</v>
      </c>
      <c r="E42" s="3">
        <f t="shared" si="0"/>
        <v>5.999999999999999</v>
      </c>
      <c r="F42" s="3"/>
      <c r="G42" s="3">
        <f t="shared" si="2"/>
        <v>0.2070602120843913</v>
      </c>
      <c r="H42" s="3">
        <f t="shared" si="1"/>
        <v>9.64327466553287E-16</v>
      </c>
      <c r="I42" s="71"/>
      <c r="J42" s="71"/>
      <c r="K42" s="71"/>
      <c r="L42" s="72">
        <v>0</v>
      </c>
      <c r="M42" s="79"/>
    </row>
    <row r="43" spans="1:13" ht="12" customHeight="1">
      <c r="A43" s="86"/>
      <c r="B43" s="4" t="s">
        <v>31</v>
      </c>
      <c r="C43" s="5" t="s">
        <v>130</v>
      </c>
      <c r="D43" s="68" t="s">
        <v>129</v>
      </c>
      <c r="E43" s="3">
        <f t="shared" si="0"/>
        <v>5.999999999999999</v>
      </c>
      <c r="F43" s="3"/>
      <c r="G43" s="3">
        <f t="shared" si="2"/>
        <v>0.2113539628354935</v>
      </c>
      <c r="H43" s="3">
        <f t="shared" si="1"/>
        <v>9.64327466553287E-16</v>
      </c>
      <c r="I43" s="71"/>
      <c r="J43" s="71"/>
      <c r="K43" s="71"/>
      <c r="L43" s="72">
        <v>0</v>
      </c>
      <c r="M43" s="79"/>
    </row>
    <row r="44" spans="1:13" ht="12" customHeight="1">
      <c r="A44" s="86"/>
      <c r="B44" s="4" t="s">
        <v>32</v>
      </c>
      <c r="C44" s="5" t="s">
        <v>130</v>
      </c>
      <c r="D44" s="68" t="s">
        <v>129</v>
      </c>
      <c r="E44" s="3">
        <f t="shared" si="0"/>
        <v>6</v>
      </c>
      <c r="F44" s="3"/>
      <c r="G44" s="3">
        <f t="shared" si="2"/>
        <v>0.22033105434266567</v>
      </c>
      <c r="H44" s="3">
        <f t="shared" si="1"/>
        <v>0</v>
      </c>
      <c r="I44" s="71"/>
      <c r="J44" s="71"/>
      <c r="K44" s="71"/>
      <c r="L44" s="72">
        <v>0</v>
      </c>
      <c r="M44" s="79"/>
    </row>
    <row r="45" spans="1:13" ht="12" customHeight="1">
      <c r="A45" s="86"/>
      <c r="B45" s="4" t="s">
        <v>33</v>
      </c>
      <c r="C45" s="5" t="s">
        <v>130</v>
      </c>
      <c r="D45" s="68" t="s">
        <v>129</v>
      </c>
      <c r="E45" s="3">
        <f t="shared" si="0"/>
        <v>6</v>
      </c>
      <c r="F45" s="3"/>
      <c r="G45" s="3">
        <f t="shared" si="2"/>
        <v>0.23269275571191328</v>
      </c>
      <c r="H45" s="3">
        <f t="shared" si="1"/>
        <v>-4.821637332766436E-16</v>
      </c>
      <c r="I45" s="71"/>
      <c r="J45" s="71"/>
      <c r="K45" s="71"/>
      <c r="L45" s="72">
        <v>0</v>
      </c>
      <c r="M45" s="79"/>
    </row>
    <row r="46" spans="1:13" ht="12" customHeight="1">
      <c r="A46" s="82" t="s">
        <v>115</v>
      </c>
      <c r="B46" s="4" t="s">
        <v>34</v>
      </c>
      <c r="C46" s="5" t="s">
        <v>130</v>
      </c>
      <c r="D46" s="68" t="s">
        <v>129</v>
      </c>
      <c r="E46" s="3">
        <f t="shared" si="0"/>
        <v>6.000000000000003</v>
      </c>
      <c r="F46" s="3"/>
      <c r="G46" s="3">
        <f t="shared" si="2"/>
        <v>0.24271005620431993</v>
      </c>
      <c r="H46" s="3">
        <f t="shared" si="1"/>
        <v>-2.8929823996598624E-15</v>
      </c>
      <c r="I46" s="71"/>
      <c r="J46" s="71"/>
      <c r="K46" s="71"/>
      <c r="L46" s="72">
        <v>0</v>
      </c>
      <c r="M46" s="79"/>
    </row>
    <row r="47" spans="1:13" ht="12" customHeight="1">
      <c r="A47" s="86"/>
      <c r="B47" s="4" t="s">
        <v>35</v>
      </c>
      <c r="C47" s="5" t="s">
        <v>130</v>
      </c>
      <c r="D47" s="68" t="s">
        <v>129</v>
      </c>
      <c r="E47" s="3">
        <f t="shared" si="0"/>
        <v>6.000000000000001</v>
      </c>
      <c r="F47" s="3"/>
      <c r="G47" s="3">
        <f t="shared" si="2"/>
        <v>0.22415109539327643</v>
      </c>
      <c r="H47" s="3">
        <f t="shared" si="1"/>
        <v>-1.9286549331065747E-15</v>
      </c>
      <c r="I47" s="71"/>
      <c r="J47" s="71"/>
      <c r="K47" s="71"/>
      <c r="L47" s="72">
        <v>0</v>
      </c>
      <c r="M47" s="79"/>
    </row>
    <row r="48" spans="1:13" ht="12" customHeight="1">
      <c r="A48" s="86"/>
      <c r="B48" s="4" t="s">
        <v>36</v>
      </c>
      <c r="C48" s="5" t="s">
        <v>130</v>
      </c>
      <c r="D48" s="68" t="s">
        <v>129</v>
      </c>
      <c r="E48" s="3">
        <f t="shared" si="0"/>
        <v>6.000000000000001</v>
      </c>
      <c r="F48" s="3"/>
      <c r="G48" s="3">
        <f t="shared" si="2"/>
        <v>0.17650973550780977</v>
      </c>
      <c r="H48" s="3">
        <f t="shared" si="1"/>
        <v>-1.446491199829931E-15</v>
      </c>
      <c r="I48" s="71"/>
      <c r="J48" s="71"/>
      <c r="K48" s="71"/>
      <c r="L48" s="72">
        <v>0</v>
      </c>
      <c r="M48" s="79"/>
    </row>
    <row r="49" spans="1:13" ht="12" customHeight="1">
      <c r="A49" s="86"/>
      <c r="B49" s="4" t="s">
        <v>37</v>
      </c>
      <c r="C49" s="5" t="s">
        <v>130</v>
      </c>
      <c r="D49" s="68" t="s">
        <v>129</v>
      </c>
      <c r="E49" s="3">
        <f t="shared" si="0"/>
        <v>6</v>
      </c>
      <c r="F49" s="3"/>
      <c r="G49" s="3">
        <f t="shared" si="2"/>
        <v>0.11078028350500091</v>
      </c>
      <c r="H49" s="3">
        <f t="shared" si="1"/>
        <v>-1.9286549331065747E-15</v>
      </c>
      <c r="I49" s="71"/>
      <c r="J49" s="71"/>
      <c r="K49" s="71"/>
      <c r="L49" s="72">
        <v>0</v>
      </c>
      <c r="M49" s="79"/>
    </row>
    <row r="50" spans="1:13" ht="12" customHeight="1">
      <c r="A50" s="86"/>
      <c r="B50" s="4" t="s">
        <v>38</v>
      </c>
      <c r="C50" s="5" t="s">
        <v>130</v>
      </c>
      <c r="D50" s="68" t="s">
        <v>129</v>
      </c>
      <c r="E50" s="3">
        <f t="shared" si="0"/>
        <v>6</v>
      </c>
      <c r="F50" s="3"/>
      <c r="G50" s="3">
        <f t="shared" si="2"/>
        <v>0.05411767245694904</v>
      </c>
      <c r="H50" s="3">
        <f t="shared" si="1"/>
        <v>-4.821637332766436E-16</v>
      </c>
      <c r="I50" s="71"/>
      <c r="J50" s="71"/>
      <c r="K50" s="71"/>
      <c r="L50" s="72">
        <v>0</v>
      </c>
      <c r="M50" s="79"/>
    </row>
    <row r="51" spans="1:13" ht="12" customHeight="1">
      <c r="A51" s="86"/>
      <c r="B51" s="4" t="s">
        <v>39</v>
      </c>
      <c r="C51" s="5" t="s">
        <v>130</v>
      </c>
      <c r="D51" s="68" t="s">
        <v>129</v>
      </c>
      <c r="E51" s="3">
        <f t="shared" si="0"/>
        <v>6</v>
      </c>
      <c r="F51" s="3"/>
      <c r="G51" s="3">
        <f t="shared" si="2"/>
        <v>0.02372168746852242</v>
      </c>
      <c r="H51" s="3">
        <f t="shared" si="1"/>
        <v>0</v>
      </c>
      <c r="I51" s="71"/>
      <c r="J51" s="71"/>
      <c r="K51" s="71"/>
      <c r="L51" s="72">
        <v>0</v>
      </c>
      <c r="M51" s="79"/>
    </row>
    <row r="52" spans="1:13" ht="12" customHeight="1">
      <c r="A52" s="87"/>
      <c r="B52" s="4" t="s">
        <v>40</v>
      </c>
      <c r="C52" s="5" t="s">
        <v>130</v>
      </c>
      <c r="D52" s="68" t="s">
        <v>129</v>
      </c>
      <c r="E52" s="3">
        <f t="shared" si="0"/>
        <v>5.999999999999999</v>
      </c>
      <c r="F52" s="3"/>
      <c r="G52" s="3">
        <f t="shared" si="2"/>
        <v>0.011360876263931799</v>
      </c>
      <c r="H52" s="3">
        <f t="shared" si="1"/>
        <v>-4.821637332766436E-16</v>
      </c>
      <c r="I52" s="71"/>
      <c r="J52" s="71"/>
      <c r="K52" s="71"/>
      <c r="L52" s="72">
        <v>0</v>
      </c>
      <c r="M52" s="80"/>
    </row>
    <row r="53" spans="1:13" ht="12" customHeight="1">
      <c r="A53" s="81" t="s">
        <v>116</v>
      </c>
      <c r="B53" s="4">
        <v>20</v>
      </c>
      <c r="C53" s="5" t="s">
        <v>130</v>
      </c>
      <c r="D53" s="2" t="s">
        <v>128</v>
      </c>
      <c r="E53" s="7">
        <f>IF($H$17=0,0,E185)+E$22-$H$22+E$30+20*LOG(E119/(F141^2*E97^2*E119^2+(E97*(1+F163*E119)-E119)^2)^0.5*E$28/(E$28^2+G97^2)^0.5)+$I53</f>
        <v>-0.006943149657981051</v>
      </c>
      <c r="F53" s="7">
        <f>IF($H$17=0,0,F185)+F$22-$H$22+F$30+20*LOG(E119/(F141^2*E97^2*E119^2+(E97*(1+F163*E119)-E119)^2)^0.5*F$28/(F$28^2+G119^2)^0.5)+$J53</f>
        <v>-27.965750659758942</v>
      </c>
      <c r="G53" s="7">
        <f>IF($H$17=0,0,G185)+G$22-$H$22+G$30+20*LOG(G$28*F97/(F97^2*F119^2+G$28^2*(F97-F119)^2)^0.5)+$K53</f>
        <v>-92.041214502594</v>
      </c>
      <c r="H53" s="7">
        <f>20*LOG(((10^(E53/20)*COS(3.14159*E75/180)+10^(F53/20)*COS(3.14159*F75/180)+10^(G53/20)*COS(3.14159*G75/180))^2+(10^(E53/20)*SIN(3.14159*E75/180)+10^(F53/20)*SIN(3.14159*F75/180)+10^(G53/20)*SIN(3.14159*G75/180))^2)^0.5)+$L53</f>
        <v>0.00021760167296518487</v>
      </c>
      <c r="I53" s="72">
        <v>0</v>
      </c>
      <c r="J53" s="72">
        <v>0</v>
      </c>
      <c r="K53" s="72">
        <v>0</v>
      </c>
      <c r="L53" s="72">
        <v>0</v>
      </c>
      <c r="M53" s="78" t="s">
        <v>216</v>
      </c>
    </row>
    <row r="54" spans="1:13" ht="12" customHeight="1">
      <c r="A54" s="82"/>
      <c r="B54" s="4">
        <v>30</v>
      </c>
      <c r="C54" s="5" t="s">
        <v>130</v>
      </c>
      <c r="D54" s="2" t="s">
        <v>128</v>
      </c>
      <c r="E54" s="7">
        <f aca="true" t="shared" si="3" ref="E54:E74">IF($H$17=0,0,E186)+E$22-$H$22+E$30+20*LOG(E120/(F142^2*E98^2*E120^2+(E98*(1+F164*E120)-E120)^2)^0.5*E$28/(E$28^2+G98^2)^0.5)+$I54</f>
        <v>-0.015606513849818074</v>
      </c>
      <c r="F54" s="7">
        <f aca="true" t="shared" si="4" ref="F54:F74">IF($H$17=0,0,F186)+F$22-$H$22+F$30+20*LOG(E120/(F142^2*E98^2*E120^2+(E98*(1+F164*E120)-E120)^2)^0.5*F$28/(F$28^2+G120^2)^0.5)+$J54</f>
        <v>-24.452588842837155</v>
      </c>
      <c r="G54" s="7">
        <f aca="true" t="shared" si="5" ref="G54:G74">IF($H$17=0,0,G186)+G$22-$H$22+G$30+20*LOG(G$28*F98/(F98^2*F120^2+G$28^2*(F98-F120)^2)^0.5)+$K54</f>
        <v>-84.99756415139372</v>
      </c>
      <c r="H54" s="7">
        <f aca="true" t="shared" si="6" ref="H54:H74">20*LOG(((10^(E54/20)*COS(3.14159*E76/180)+10^(F54/20)*COS(3.14159*F76/180)+10^(G54/20)*COS(3.14159*G76/180))^2+(10^(E54/20)*SIN(3.14159*E76/180)+10^(F54/20)*SIN(3.14159*F76/180)+10^(G54/20)*SIN(3.14159*G76/180))^2)^0.5)+$L54</f>
        <v>0.0004892419285974147</v>
      </c>
      <c r="I54" s="72">
        <v>0</v>
      </c>
      <c r="J54" s="72">
        <v>0</v>
      </c>
      <c r="K54" s="72">
        <v>0</v>
      </c>
      <c r="L54" s="72">
        <v>0</v>
      </c>
      <c r="M54" s="79"/>
    </row>
    <row r="55" spans="1:13" ht="12" customHeight="1">
      <c r="A55" s="82"/>
      <c r="B55" s="4">
        <v>40</v>
      </c>
      <c r="C55" s="5" t="s">
        <v>130</v>
      </c>
      <c r="D55" s="2" t="s">
        <v>128</v>
      </c>
      <c r="E55" s="7">
        <f t="shared" si="3"/>
        <v>-0.02770627778524935</v>
      </c>
      <c r="F55" s="7">
        <f t="shared" si="4"/>
        <v>-21.965913874606592</v>
      </c>
      <c r="G55" s="7">
        <f t="shared" si="5"/>
        <v>-80.00001471674972</v>
      </c>
      <c r="H55" s="7">
        <f t="shared" si="6"/>
        <v>0.0008694166368657264</v>
      </c>
      <c r="I55" s="72">
        <v>0</v>
      </c>
      <c r="J55" s="72">
        <v>0</v>
      </c>
      <c r="K55" s="72">
        <v>0</v>
      </c>
      <c r="L55" s="72">
        <v>0</v>
      </c>
      <c r="M55" s="79"/>
    </row>
    <row r="56" spans="1:13" ht="12" customHeight="1">
      <c r="A56" s="82"/>
      <c r="B56" s="4">
        <v>50</v>
      </c>
      <c r="C56" s="5" t="s">
        <v>130</v>
      </c>
      <c r="D56" s="2" t="s">
        <v>128</v>
      </c>
      <c r="E56" s="7">
        <f t="shared" si="3"/>
        <v>-0.04321377121485243</v>
      </c>
      <c r="F56" s="7">
        <f t="shared" si="4"/>
        <v>-20.043221107875063</v>
      </c>
      <c r="G56" s="7">
        <f t="shared" si="5"/>
        <v>-76.12361425902674</v>
      </c>
      <c r="H56" s="7">
        <f t="shared" si="6"/>
        <v>0.001358096766912924</v>
      </c>
      <c r="I56" s="72">
        <v>0</v>
      </c>
      <c r="J56" s="72">
        <v>0</v>
      </c>
      <c r="K56" s="72">
        <v>0</v>
      </c>
      <c r="L56" s="72">
        <v>0</v>
      </c>
      <c r="M56" s="79"/>
    </row>
    <row r="57" spans="1:13" ht="12" customHeight="1">
      <c r="A57" s="82"/>
      <c r="B57" s="4">
        <v>70</v>
      </c>
      <c r="C57" s="5" t="s">
        <v>130</v>
      </c>
      <c r="D57" s="2" t="s">
        <v>128</v>
      </c>
      <c r="E57" s="7">
        <f t="shared" si="3"/>
        <v>-0.08429853425747441</v>
      </c>
      <c r="F57" s="7">
        <f t="shared" si="4"/>
        <v>-17.161745157352925</v>
      </c>
      <c r="G57" s="7">
        <f t="shared" si="5"/>
        <v>-70.27849313318798</v>
      </c>
      <c r="H57" s="7">
        <f t="shared" si="6"/>
        <v>0.0026608165665133387</v>
      </c>
      <c r="I57" s="72">
        <v>0</v>
      </c>
      <c r="J57" s="72">
        <v>0</v>
      </c>
      <c r="K57" s="72">
        <v>0</v>
      </c>
      <c r="L57" s="72">
        <v>0</v>
      </c>
      <c r="M57" s="79"/>
    </row>
    <row r="58" spans="1:13" ht="12" customHeight="1">
      <c r="A58" s="82"/>
      <c r="B58" s="4">
        <v>100</v>
      </c>
      <c r="C58" s="5" t="s">
        <v>130</v>
      </c>
      <c r="D58" s="2" t="s">
        <v>128</v>
      </c>
      <c r="E58" s="7">
        <f t="shared" si="3"/>
        <v>-0.1703348072655504</v>
      </c>
      <c r="F58" s="7">
        <f t="shared" si="4"/>
        <v>-14.149742230646137</v>
      </c>
      <c r="G58" s="7">
        <f t="shared" si="5"/>
        <v>-64.08241602289567</v>
      </c>
      <c r="H58" s="7">
        <f t="shared" si="6"/>
        <v>0.005427494488709333</v>
      </c>
      <c r="I58" s="72">
        <v>0</v>
      </c>
      <c r="J58" s="72">
        <v>0</v>
      </c>
      <c r="K58" s="72">
        <v>0</v>
      </c>
      <c r="L58" s="72">
        <v>0</v>
      </c>
      <c r="M58" s="79"/>
    </row>
    <row r="59" spans="1:13" ht="12" customHeight="1">
      <c r="A59" s="82"/>
      <c r="B59" s="4">
        <v>150</v>
      </c>
      <c r="C59" s="5" t="s">
        <v>130</v>
      </c>
      <c r="D59" s="2" t="s">
        <v>128</v>
      </c>
      <c r="E59" s="7">
        <f t="shared" si="3"/>
        <v>-0.37427296193293846</v>
      </c>
      <c r="F59" s="7">
        <f t="shared" si="4"/>
        <v>-10.8318552041999</v>
      </c>
      <c r="G59" s="7">
        <f t="shared" si="5"/>
        <v>-57.03877255251719</v>
      </c>
      <c r="H59" s="7">
        <f t="shared" si="6"/>
        <v>0.01220051048675126</v>
      </c>
      <c r="I59" s="72">
        <v>0</v>
      </c>
      <c r="J59" s="72">
        <v>0</v>
      </c>
      <c r="K59" s="72">
        <v>0</v>
      </c>
      <c r="L59" s="72">
        <v>0</v>
      </c>
      <c r="M59" s="79"/>
    </row>
    <row r="60" spans="1:13" ht="12" customHeight="1">
      <c r="A60" s="82"/>
      <c r="B60" s="4">
        <v>200</v>
      </c>
      <c r="C60" s="5" t="s">
        <v>130</v>
      </c>
      <c r="D60" s="2" t="s">
        <v>128</v>
      </c>
      <c r="E60" s="7">
        <f t="shared" si="3"/>
        <v>-0.6446060235453775</v>
      </c>
      <c r="F60" s="7">
        <f t="shared" si="4"/>
        <v>-8.60341353364634</v>
      </c>
      <c r="G60" s="7">
        <f t="shared" si="5"/>
        <v>-52.04124164310826</v>
      </c>
      <c r="H60" s="7">
        <f t="shared" si="6"/>
        <v>0.02166441003873205</v>
      </c>
      <c r="I60" s="72">
        <v>0</v>
      </c>
      <c r="J60" s="72">
        <v>0</v>
      </c>
      <c r="K60" s="72">
        <v>0</v>
      </c>
      <c r="L60" s="72">
        <v>0</v>
      </c>
      <c r="M60" s="79"/>
    </row>
    <row r="61" spans="1:13" ht="12" customHeight="1">
      <c r="A61" s="82"/>
      <c r="B61" s="4">
        <v>300</v>
      </c>
      <c r="C61" s="5" t="s">
        <v>130</v>
      </c>
      <c r="D61" s="2" t="s">
        <v>128</v>
      </c>
      <c r="E61" s="7">
        <f t="shared" si="3"/>
        <v>-1.3355245524965462</v>
      </c>
      <c r="F61" s="7">
        <f t="shared" si="4"/>
        <v>-5.772506881483885</v>
      </c>
      <c r="G61" s="7">
        <f t="shared" si="5"/>
        <v>-44.997701548502704</v>
      </c>
      <c r="H61" s="7">
        <f t="shared" si="6"/>
        <v>0.048588791783541696</v>
      </c>
      <c r="I61" s="72">
        <v>0</v>
      </c>
      <c r="J61" s="72">
        <v>0</v>
      </c>
      <c r="K61" s="72">
        <v>0</v>
      </c>
      <c r="L61" s="72">
        <v>0</v>
      </c>
      <c r="M61" s="79"/>
    </row>
    <row r="62" spans="1:13" ht="12" customHeight="1">
      <c r="A62" s="82"/>
      <c r="B62" s="4">
        <v>400</v>
      </c>
      <c r="C62" s="5" t="s">
        <v>130</v>
      </c>
      <c r="D62" s="2" t="s">
        <v>128</v>
      </c>
      <c r="E62" s="7">
        <f t="shared" si="3"/>
        <v>-2.148869888692986</v>
      </c>
      <c r="F62" s="7">
        <f t="shared" si="4"/>
        <v>-4.0870774855143255</v>
      </c>
      <c r="G62" s="7">
        <f t="shared" si="5"/>
        <v>-40.000448944621866</v>
      </c>
      <c r="H62" s="7">
        <f t="shared" si="6"/>
        <v>0.08599862506227846</v>
      </c>
      <c r="I62" s="72">
        <v>0</v>
      </c>
      <c r="J62" s="72">
        <v>0</v>
      </c>
      <c r="K62" s="72">
        <v>0</v>
      </c>
      <c r="L62" s="72">
        <v>0</v>
      </c>
      <c r="M62" s="79"/>
    </row>
    <row r="63" spans="1:13" ht="12" customHeight="1">
      <c r="A63" s="82"/>
      <c r="B63" s="4">
        <v>500</v>
      </c>
      <c r="C63" s="5" t="s">
        <v>130</v>
      </c>
      <c r="D63" s="2" t="s">
        <v>128</v>
      </c>
      <c r="E63" s="7">
        <f t="shared" si="3"/>
        <v>-3.0113564445834617</v>
      </c>
      <c r="F63" s="7">
        <f t="shared" si="4"/>
        <v>-3.0113637812436735</v>
      </c>
      <c r="G63" s="7">
        <f t="shared" si="5"/>
        <v>-36.124674309270375</v>
      </c>
      <c r="H63" s="7">
        <f t="shared" si="6"/>
        <v>0.13361294470820667</v>
      </c>
      <c r="I63" s="72">
        <v>0</v>
      </c>
      <c r="J63" s="72">
        <v>0</v>
      </c>
      <c r="K63" s="72">
        <v>0</v>
      </c>
      <c r="L63" s="72">
        <v>0</v>
      </c>
      <c r="M63" s="79"/>
    </row>
    <row r="64" spans="1:13" ht="12" customHeight="1">
      <c r="A64" s="82"/>
      <c r="B64" s="4">
        <v>700</v>
      </c>
      <c r="C64" s="5" t="s">
        <v>130</v>
      </c>
      <c r="D64" s="2" t="s">
        <v>128</v>
      </c>
      <c r="E64" s="7">
        <f t="shared" si="3"/>
        <v>-4.716983537095635</v>
      </c>
      <c r="F64" s="7">
        <f t="shared" si="4"/>
        <v>-1.7944301601910848</v>
      </c>
      <c r="G64" s="7">
        <f t="shared" si="5"/>
        <v>-30.282564010432296</v>
      </c>
      <c r="H64" s="7">
        <f t="shared" si="6"/>
        <v>0.2579470279483028</v>
      </c>
      <c r="I64" s="72">
        <v>0</v>
      </c>
      <c r="J64" s="72">
        <v>0</v>
      </c>
      <c r="K64" s="72">
        <v>0</v>
      </c>
      <c r="L64" s="72">
        <v>0</v>
      </c>
      <c r="M64" s="79"/>
    </row>
    <row r="65" spans="1:13" ht="12" customHeight="1">
      <c r="A65" s="82"/>
      <c r="B65" s="4" t="s">
        <v>31</v>
      </c>
      <c r="C65" s="5" t="s">
        <v>130</v>
      </c>
      <c r="D65" s="2" t="s">
        <v>128</v>
      </c>
      <c r="E65" s="7">
        <f t="shared" si="3"/>
        <v>-7.0066256971329235</v>
      </c>
      <c r="F65" s="7">
        <f t="shared" si="4"/>
        <v>-0.9860331205135119</v>
      </c>
      <c r="G65" s="7">
        <f t="shared" si="5"/>
        <v>-24.099345849538835</v>
      </c>
      <c r="H65" s="7">
        <f t="shared" si="6"/>
        <v>0.5096507268070554</v>
      </c>
      <c r="I65" s="72">
        <v>0</v>
      </c>
      <c r="J65" s="72">
        <v>0</v>
      </c>
      <c r="K65" s="72">
        <v>0</v>
      </c>
      <c r="L65" s="72">
        <v>0</v>
      </c>
      <c r="M65" s="79"/>
    </row>
    <row r="66" spans="1:13" ht="12" customHeight="1">
      <c r="A66" s="82"/>
      <c r="B66" s="4" t="s">
        <v>32</v>
      </c>
      <c r="C66" s="5" t="s">
        <v>130</v>
      </c>
      <c r="D66" s="2" t="s">
        <v>128</v>
      </c>
      <c r="E66" s="7">
        <f t="shared" si="3"/>
        <v>-10.085038385436626</v>
      </c>
      <c r="F66" s="7">
        <f t="shared" si="4"/>
        <v>-0.5426206277035889</v>
      </c>
      <c r="G66" s="7">
        <f t="shared" si="5"/>
        <v>-17.123808952641927</v>
      </c>
      <c r="H66" s="7">
        <f t="shared" si="6"/>
        <v>1.0578139563379942</v>
      </c>
      <c r="I66" s="72">
        <v>0</v>
      </c>
      <c r="J66" s="72">
        <v>0</v>
      </c>
      <c r="K66" s="72">
        <v>0</v>
      </c>
      <c r="L66" s="72">
        <v>0</v>
      </c>
      <c r="M66" s="79"/>
    </row>
    <row r="67" spans="1:13" ht="12" customHeight="1">
      <c r="A67" s="82"/>
      <c r="B67" s="4" t="s">
        <v>33</v>
      </c>
      <c r="C67" s="5" t="s">
        <v>130</v>
      </c>
      <c r="D67" s="2" t="s">
        <v>128</v>
      </c>
      <c r="E67" s="7">
        <f t="shared" si="3"/>
        <v>-12.567770832779487</v>
      </c>
      <c r="F67" s="7">
        <f t="shared" si="4"/>
        <v>-0.5265783428804518</v>
      </c>
      <c r="G67" s="7">
        <f t="shared" si="5"/>
        <v>-12.30450302396804</v>
      </c>
      <c r="H67" s="7">
        <f t="shared" si="6"/>
        <v>1.674910970710087</v>
      </c>
      <c r="I67" s="72">
        <v>0</v>
      </c>
      <c r="J67" s="72">
        <v>0</v>
      </c>
      <c r="K67" s="72">
        <v>0</v>
      </c>
      <c r="L67" s="72">
        <v>0</v>
      </c>
      <c r="M67" s="79"/>
    </row>
    <row r="68" spans="1:13" ht="12" customHeight="1">
      <c r="A68" s="82"/>
      <c r="B68" s="4" t="s">
        <v>34</v>
      </c>
      <c r="C68" s="5" t="s">
        <v>130</v>
      </c>
      <c r="D68" s="2" t="s">
        <v>128</v>
      </c>
      <c r="E68" s="7">
        <f t="shared" si="3"/>
        <v>-16.87590593107561</v>
      </c>
      <c r="F68" s="7">
        <f t="shared" si="4"/>
        <v>-1.3128882600629508</v>
      </c>
      <c r="G68" s="7">
        <f t="shared" si="5"/>
        <v>-6.191459966430014</v>
      </c>
      <c r="H68" s="7">
        <f t="shared" si="6"/>
        <v>2.682500605198844</v>
      </c>
      <c r="I68" s="72">
        <v>0</v>
      </c>
      <c r="J68" s="72">
        <v>0</v>
      </c>
      <c r="K68" s="72">
        <v>0</v>
      </c>
      <c r="L68" s="72">
        <v>0</v>
      </c>
      <c r="M68" s="79"/>
    </row>
    <row r="69" spans="1:13" ht="12" customHeight="1">
      <c r="A69" s="82"/>
      <c r="B69" s="4" t="s">
        <v>35</v>
      </c>
      <c r="C69" s="5" t="s">
        <v>130</v>
      </c>
      <c r="D69" s="2" t="s">
        <v>128</v>
      </c>
      <c r="E69" s="7">
        <f t="shared" si="3"/>
        <v>-21.139418962625935</v>
      </c>
      <c r="F69" s="7">
        <f t="shared" si="4"/>
        <v>-3.0776265594472725</v>
      </c>
      <c r="G69" s="7">
        <f t="shared" si="5"/>
        <v>-3.010307293306222</v>
      </c>
      <c r="H69" s="7">
        <f t="shared" si="6"/>
        <v>3.010300665831277</v>
      </c>
      <c r="I69" s="72">
        <v>0</v>
      </c>
      <c r="J69" s="72">
        <v>0</v>
      </c>
      <c r="K69" s="72">
        <v>0</v>
      </c>
      <c r="L69" s="72">
        <v>0</v>
      </c>
      <c r="M69" s="79"/>
    </row>
    <row r="70" spans="1:13" ht="12" customHeight="1">
      <c r="A70" s="82"/>
      <c r="B70" s="4" t="s">
        <v>36</v>
      </c>
      <c r="C70" s="5" t="s">
        <v>130</v>
      </c>
      <c r="D70" s="2" t="s">
        <v>128</v>
      </c>
      <c r="E70" s="7">
        <f t="shared" si="3"/>
        <v>-25.41055549525027</v>
      </c>
      <c r="F70" s="7">
        <f t="shared" si="4"/>
        <v>-5.410562831910485</v>
      </c>
      <c r="G70" s="7">
        <f t="shared" si="5"/>
        <v>-1.4909631744419647</v>
      </c>
      <c r="H70" s="7">
        <f t="shared" si="6"/>
        <v>2.8059199579692002</v>
      </c>
      <c r="I70" s="72">
        <v>0</v>
      </c>
      <c r="J70" s="72">
        <v>0</v>
      </c>
      <c r="K70" s="72">
        <v>0</v>
      </c>
      <c r="L70" s="72">
        <v>0</v>
      </c>
      <c r="M70" s="79"/>
    </row>
    <row r="71" spans="1:13" ht="12" customHeight="1">
      <c r="A71" s="82"/>
      <c r="B71" s="4" t="s">
        <v>37</v>
      </c>
      <c r="C71" s="5" t="s">
        <v>130</v>
      </c>
      <c r="D71" s="2" t="s">
        <v>128</v>
      </c>
      <c r="E71" s="7">
        <f t="shared" si="3"/>
        <v>-33.10615759362735</v>
      </c>
      <c r="F71" s="7">
        <f t="shared" si="4"/>
        <v>-10.183604216722799</v>
      </c>
      <c r="G71" s="7">
        <f t="shared" si="5"/>
        <v>-0.4399953572983152</v>
      </c>
      <c r="H71" s="7">
        <f t="shared" si="6"/>
        <v>2.0143539884836374</v>
      </c>
      <c r="I71" s="72">
        <v>0</v>
      </c>
      <c r="J71" s="72">
        <v>0</v>
      </c>
      <c r="K71" s="72">
        <v>0</v>
      </c>
      <c r="L71" s="72">
        <v>0</v>
      </c>
      <c r="M71" s="79"/>
    </row>
    <row r="72" spans="1:13" ht="12" customHeight="1">
      <c r="A72" s="82"/>
      <c r="B72" s="4" t="s">
        <v>38</v>
      </c>
      <c r="C72" s="5" t="s">
        <v>130</v>
      </c>
      <c r="D72" s="2" t="s">
        <v>128</v>
      </c>
      <c r="E72" s="7">
        <f t="shared" si="3"/>
        <v>-42.058802569407376</v>
      </c>
      <c r="F72" s="7">
        <f t="shared" si="4"/>
        <v>-16.038209992787962</v>
      </c>
      <c r="G72" s="7">
        <f t="shared" si="5"/>
        <v>-0.10978048800875355</v>
      </c>
      <c r="H72" s="7">
        <f t="shared" si="6"/>
        <v>1.1793813997179108</v>
      </c>
      <c r="I72" s="72">
        <v>0</v>
      </c>
      <c r="J72" s="72">
        <v>0</v>
      </c>
      <c r="K72" s="72">
        <v>0</v>
      </c>
      <c r="L72" s="72">
        <v>0</v>
      </c>
      <c r="M72" s="79"/>
    </row>
    <row r="73" spans="1:13" ht="12" customHeight="1">
      <c r="A73" s="82"/>
      <c r="B73" s="4" t="s">
        <v>39</v>
      </c>
      <c r="C73" s="5" t="s">
        <v>130</v>
      </c>
      <c r="D73" s="2" t="s">
        <v>128</v>
      </c>
      <c r="E73" s="7">
        <f t="shared" si="3"/>
        <v>-52.53038271084566</v>
      </c>
      <c r="F73" s="7">
        <f t="shared" si="4"/>
        <v>-22.98796495311262</v>
      </c>
      <c r="G73" s="7">
        <f t="shared" si="5"/>
        <v>-0.021906093784103554</v>
      </c>
      <c r="H73" s="7">
        <f t="shared" si="6"/>
        <v>0.5747853951243896</v>
      </c>
      <c r="I73" s="72">
        <v>0</v>
      </c>
      <c r="J73" s="72">
        <v>0</v>
      </c>
      <c r="K73" s="72">
        <v>0</v>
      </c>
      <c r="L73" s="72">
        <v>0</v>
      </c>
      <c r="M73" s="79"/>
    </row>
    <row r="74" spans="1:13" ht="12" customHeight="1">
      <c r="A74" s="83"/>
      <c r="B74" s="4" t="s">
        <v>40</v>
      </c>
      <c r="C74" s="5" t="s">
        <v>130</v>
      </c>
      <c r="D74" s="2" t="s">
        <v>128</v>
      </c>
      <c r="E74" s="7">
        <f t="shared" si="3"/>
        <v>-60.009634669339064</v>
      </c>
      <c r="F74" s="7">
        <f t="shared" si="4"/>
        <v>-27.968442179440025</v>
      </c>
      <c r="G74" s="7">
        <f t="shared" si="5"/>
        <v>-0.006943182103393209</v>
      </c>
      <c r="H74" s="7">
        <f t="shared" si="6"/>
        <v>0.333724179305405</v>
      </c>
      <c r="I74" s="72">
        <v>0</v>
      </c>
      <c r="J74" s="72">
        <v>0</v>
      </c>
      <c r="K74" s="72">
        <v>0</v>
      </c>
      <c r="L74" s="72">
        <v>0</v>
      </c>
      <c r="M74" s="80"/>
    </row>
    <row r="75" spans="1:8" ht="12" customHeight="1">
      <c r="A75" s="81" t="s">
        <v>117</v>
      </c>
      <c r="B75" s="4">
        <v>20</v>
      </c>
      <c r="C75" s="5" t="s">
        <v>130</v>
      </c>
      <c r="D75" s="2" t="s">
        <v>124</v>
      </c>
      <c r="E75" s="6">
        <f>IF($H$17=0,0,E207)+180/PI()*(ATAN2((E97*(1+F163*E119)-E119),F141*E97*E119)+ATAN2(E$28,(-1)*G97))-180</f>
        <v>-2.6957534860925136</v>
      </c>
      <c r="F75" s="6">
        <f>IF($H$17=0,0,F207)+180/PI()*(ATAN2((E97*(1+F163*E119)-E119),F141*E97*E119)+ATAN2(F$28,G119))-180</f>
        <v>87.30424651390751</v>
      </c>
      <c r="G75" s="6">
        <f>IF($H$17=0,0,G207)+180/PI()*ATAN2((G$28*(F97-F119)),F97*F119)-180</f>
        <v>-0.40514537618858526</v>
      </c>
      <c r="H75" s="6">
        <f>180/PI()*ATAN2((10^(E53/20)*COS(PI()*E75/180)+10^(F53/20)*COS(PI()*F75/180)+10^(G53/20)*COS(PI()*G75/180)),(10^(E53/20)*SIN(PI()*E75/180)+10^(F53/20)*SIN(PI()*F75/180)+10^(G53/20)*SIN(PI()*G75/180)))</f>
        <v>-0.40514537618859436</v>
      </c>
    </row>
    <row r="76" spans="1:8" ht="12" customHeight="1">
      <c r="A76" s="82"/>
      <c r="B76" s="4">
        <v>30</v>
      </c>
      <c r="C76" s="5" t="s">
        <v>130</v>
      </c>
      <c r="D76" s="2" t="s">
        <v>124</v>
      </c>
      <c r="E76" s="6">
        <f aca="true" t="shared" si="7" ref="E76:E96">IF($H$17=0,0,E208)+180/PI()*(ATAN2((E98*(1+F164*E120)-E120),F142*E98*E120)+ATAN2(E$28,(-1)*G98))-180</f>
        <v>-4.041351863433363</v>
      </c>
      <c r="F76" s="6">
        <f aca="true" t="shared" si="8" ref="F76:F96">IF($H$17=0,0,F208)+180/PI()*(ATAN2((E98*(1+F164*E120)-E120),F142*E98*E120)+ATAN2(F$28,G120))-180</f>
        <v>85.95864813656664</v>
      </c>
      <c r="G76" s="6">
        <f aca="true" t="shared" si="9" ref="G76:G96">IF($H$17=0,0,G208)+180/PI()*ATAN2((G$28*(F98-F120)),F98*F120)-180</f>
        <v>-0.6077243943073256</v>
      </c>
      <c r="H76" s="6">
        <f aca="true" t="shared" si="10" ref="H76:H96">180/PI()*ATAN2((10^(E54/20)*COS(PI()*E76/180)+10^(F54/20)*COS(PI()*F76/180)+10^(G54/20)*COS(PI()*G76/180)),(10^(E54/20)*SIN(PI()*E76/180)+10^(F54/20)*SIN(PI()*F76/180)+10^(G54/20)*SIN(PI()*G76/180)))</f>
        <v>-0.6077243943073565</v>
      </c>
    </row>
    <row r="77" spans="1:8" ht="12" customHeight="1">
      <c r="A77" s="82"/>
      <c r="B77" s="4">
        <v>40</v>
      </c>
      <c r="C77" s="5" t="s">
        <v>130</v>
      </c>
      <c r="D77" s="2" t="s">
        <v>124</v>
      </c>
      <c r="E77" s="6">
        <f t="shared" si="7"/>
        <v>-5.384228420791459</v>
      </c>
      <c r="F77" s="6">
        <f t="shared" si="8"/>
        <v>84.61577157920857</v>
      </c>
      <c r="G77" s="6">
        <f t="shared" si="9"/>
        <v>-0.8103110079235591</v>
      </c>
      <c r="H77" s="6">
        <f t="shared" si="10"/>
        <v>-0.8103110079235765</v>
      </c>
    </row>
    <row r="78" spans="1:8" ht="12" customHeight="1">
      <c r="A78" s="82"/>
      <c r="B78" s="4">
        <v>50</v>
      </c>
      <c r="C78" s="5" t="s">
        <v>130</v>
      </c>
      <c r="D78" s="2" t="s">
        <v>124</v>
      </c>
      <c r="E78" s="6">
        <f t="shared" si="7"/>
        <v>-6.72349609383204</v>
      </c>
      <c r="F78" s="6">
        <f t="shared" si="8"/>
        <v>83.27650390616799</v>
      </c>
      <c r="G78" s="6">
        <f t="shared" si="9"/>
        <v>-1.0129077479833768</v>
      </c>
      <c r="H78" s="6">
        <f t="shared" si="10"/>
        <v>-1.012907747983388</v>
      </c>
    </row>
    <row r="79" spans="1:8" ht="12" customHeight="1">
      <c r="A79" s="82"/>
      <c r="B79" s="4">
        <v>70</v>
      </c>
      <c r="C79" s="5" t="s">
        <v>130</v>
      </c>
      <c r="D79" s="2" t="s">
        <v>124</v>
      </c>
      <c r="E79" s="6">
        <f t="shared" si="7"/>
        <v>-9.387745476399004</v>
      </c>
      <c r="F79" s="6">
        <f t="shared" si="8"/>
        <v>80.612254523601</v>
      </c>
      <c r="G79" s="6">
        <f t="shared" si="9"/>
        <v>-1.4181417272272654</v>
      </c>
      <c r="H79" s="6">
        <f t="shared" si="10"/>
        <v>-1.4181417272272645</v>
      </c>
    </row>
    <row r="80" spans="1:8" ht="12" customHeight="1">
      <c r="A80" s="82"/>
      <c r="B80" s="4">
        <v>100</v>
      </c>
      <c r="C80" s="5" t="s">
        <v>130</v>
      </c>
      <c r="D80" s="2" t="s">
        <v>124</v>
      </c>
      <c r="E80" s="6">
        <f t="shared" si="7"/>
        <v>-13.336055031342568</v>
      </c>
      <c r="F80" s="6">
        <f t="shared" si="8"/>
        <v>76.66394496865746</v>
      </c>
      <c r="G80" s="6">
        <f t="shared" si="9"/>
        <v>-2.026131864183128</v>
      </c>
      <c r="H80" s="6">
        <f t="shared" si="10"/>
        <v>-2.0261318641831494</v>
      </c>
    </row>
    <row r="81" spans="1:8" ht="12" customHeight="1">
      <c r="A81" s="82"/>
      <c r="B81" s="4">
        <v>150</v>
      </c>
      <c r="C81" s="5" t="s">
        <v>130</v>
      </c>
      <c r="D81" s="2" t="s">
        <v>124</v>
      </c>
      <c r="E81" s="6">
        <f t="shared" si="7"/>
        <v>-19.739219036504124</v>
      </c>
      <c r="F81" s="6">
        <f t="shared" si="8"/>
        <v>70.2607809634959</v>
      </c>
      <c r="G81" s="6">
        <f t="shared" si="9"/>
        <v>-3.0399881224218746</v>
      </c>
      <c r="H81" s="6">
        <f t="shared" si="10"/>
        <v>-3.039988122421862</v>
      </c>
    </row>
    <row r="82" spans="1:8" ht="12" customHeight="1">
      <c r="A82" s="82"/>
      <c r="B82" s="4">
        <v>200</v>
      </c>
      <c r="C82" s="5" t="s">
        <v>130</v>
      </c>
      <c r="D82" s="2" t="s">
        <v>124</v>
      </c>
      <c r="E82" s="6">
        <f t="shared" si="7"/>
        <v>-25.85618390314903</v>
      </c>
      <c r="F82" s="6">
        <f t="shared" si="8"/>
        <v>64.143816096851</v>
      </c>
      <c r="G82" s="6">
        <f t="shared" si="9"/>
        <v>-4.0547911049627885</v>
      </c>
      <c r="H82" s="6">
        <f t="shared" si="10"/>
        <v>-4.054791104962806</v>
      </c>
    </row>
    <row r="83" spans="1:8" ht="12" customHeight="1">
      <c r="A83" s="82"/>
      <c r="B83" s="4">
        <v>300</v>
      </c>
      <c r="C83" s="5" t="s">
        <v>130</v>
      </c>
      <c r="D83" s="2" t="s">
        <v>124</v>
      </c>
      <c r="E83" s="6">
        <f t="shared" si="7"/>
        <v>-37.05222117091978</v>
      </c>
      <c r="F83" s="6">
        <f t="shared" si="8"/>
        <v>52.94777882908022</v>
      </c>
      <c r="G83" s="6">
        <f t="shared" si="9"/>
        <v>-6.088485989883964</v>
      </c>
      <c r="H83" s="6">
        <f t="shared" si="10"/>
        <v>-6.088485989883928</v>
      </c>
    </row>
    <row r="84" spans="1:8" ht="12" customHeight="1">
      <c r="A84" s="82"/>
      <c r="B84" s="4">
        <v>400</v>
      </c>
      <c r="C84" s="5" t="s">
        <v>130</v>
      </c>
      <c r="D84" s="2" t="s">
        <v>124</v>
      </c>
      <c r="E84" s="6">
        <f t="shared" si="7"/>
        <v>-46.78947086399208</v>
      </c>
      <c r="F84" s="6">
        <f t="shared" si="8"/>
        <v>43.21052913600795</v>
      </c>
      <c r="G84" s="6">
        <f t="shared" si="9"/>
        <v>-8.1296862175559</v>
      </c>
      <c r="H84" s="6">
        <f t="shared" si="10"/>
        <v>-8.129686217555893</v>
      </c>
    </row>
    <row r="85" spans="1:8" ht="12" customHeight="1">
      <c r="A85" s="82"/>
      <c r="B85" s="4">
        <v>500</v>
      </c>
      <c r="C85" s="5" t="s">
        <v>130</v>
      </c>
      <c r="D85" s="2" t="s">
        <v>124</v>
      </c>
      <c r="E85" s="6">
        <f t="shared" si="7"/>
        <v>-55.180778571063044</v>
      </c>
      <c r="F85" s="6">
        <f t="shared" si="8"/>
        <v>34.81922142893697</v>
      </c>
      <c r="G85" s="6">
        <f t="shared" si="9"/>
        <v>-10.180802768910524</v>
      </c>
      <c r="H85" s="6">
        <f t="shared" si="10"/>
        <v>-10.180802768910542</v>
      </c>
    </row>
    <row r="86" spans="1:8" ht="12" customHeight="1">
      <c r="A86" s="82"/>
      <c r="B86" s="4">
        <v>700</v>
      </c>
      <c r="C86" s="5" t="s">
        <v>130</v>
      </c>
      <c r="D86" s="2" t="s">
        <v>124</v>
      </c>
      <c r="E86" s="6">
        <f t="shared" si="7"/>
        <v>-68.78430632876514</v>
      </c>
      <c r="F86" s="6">
        <f t="shared" si="8"/>
        <v>21.215693671234902</v>
      </c>
      <c r="G86" s="6">
        <f t="shared" si="9"/>
        <v>-14.322007010598384</v>
      </c>
      <c r="H86" s="6">
        <f t="shared" si="10"/>
        <v>-14.322007010598368</v>
      </c>
    </row>
    <row r="87" spans="1:8" ht="12" customHeight="1">
      <c r="A87" s="82"/>
      <c r="B87" s="4" t="s">
        <v>21</v>
      </c>
      <c r="C87" s="5" t="s">
        <v>130</v>
      </c>
      <c r="D87" s="2" t="s">
        <v>124</v>
      </c>
      <c r="E87" s="6">
        <f t="shared" si="7"/>
        <v>-84.0975553603023</v>
      </c>
      <c r="F87" s="6">
        <f t="shared" si="8"/>
        <v>5.902444639697734</v>
      </c>
      <c r="G87" s="6">
        <f t="shared" si="9"/>
        <v>-20.662625895663183</v>
      </c>
      <c r="H87" s="6">
        <f t="shared" si="10"/>
        <v>-20.662625895663172</v>
      </c>
    </row>
    <row r="88" spans="1:8" ht="12" customHeight="1">
      <c r="A88" s="82"/>
      <c r="B88" s="4" t="s">
        <v>22</v>
      </c>
      <c r="C88" s="5" t="s">
        <v>130</v>
      </c>
      <c r="D88" s="2" t="s">
        <v>124</v>
      </c>
      <c r="E88" s="6">
        <f t="shared" si="7"/>
        <v>-103.24421527116102</v>
      </c>
      <c r="F88" s="6">
        <f t="shared" si="8"/>
        <v>-13.244215271161039</v>
      </c>
      <c r="G88" s="6">
        <f t="shared" si="9"/>
        <v>-31.679178612796477</v>
      </c>
      <c r="H88" s="6">
        <f t="shared" si="10"/>
        <v>-31.679178612796456</v>
      </c>
    </row>
    <row r="89" spans="1:8" ht="12" customHeight="1">
      <c r="A89" s="82"/>
      <c r="B89" s="4" t="s">
        <v>23</v>
      </c>
      <c r="C89" s="5" t="s">
        <v>130</v>
      </c>
      <c r="D89" s="2" t="s">
        <v>124</v>
      </c>
      <c r="E89" s="6">
        <f t="shared" si="7"/>
        <v>-119.27756154323905</v>
      </c>
      <c r="F89" s="6">
        <f t="shared" si="8"/>
        <v>-29.277561543239045</v>
      </c>
      <c r="G89" s="6">
        <f t="shared" si="9"/>
        <v>-43.313816398392134</v>
      </c>
      <c r="H89" s="6">
        <f t="shared" si="10"/>
        <v>-43.31381639839212</v>
      </c>
    </row>
    <row r="90" spans="1:8" ht="12" customHeight="1">
      <c r="A90" s="82"/>
      <c r="B90" s="4" t="s">
        <v>24</v>
      </c>
      <c r="C90" s="5" t="s">
        <v>130</v>
      </c>
      <c r="D90" s="2" t="s">
        <v>124</v>
      </c>
      <c r="E90" s="6">
        <f t="shared" si="7"/>
        <v>-148.12249196284483</v>
      </c>
      <c r="F90" s="6">
        <f t="shared" si="8"/>
        <v>-58.12249196284482</v>
      </c>
      <c r="G90" s="6">
        <f t="shared" si="9"/>
        <v>-67.58482201882411</v>
      </c>
      <c r="H90" s="6">
        <f t="shared" si="10"/>
        <v>-67.58482201882411</v>
      </c>
    </row>
    <row r="91" spans="1:8" ht="12" customHeight="1">
      <c r="A91" s="82"/>
      <c r="B91" s="4" t="s">
        <v>25</v>
      </c>
      <c r="C91" s="5" t="s">
        <v>130</v>
      </c>
      <c r="D91" s="2" t="s">
        <v>124</v>
      </c>
      <c r="E91" s="6">
        <f t="shared" si="7"/>
        <v>-172.8749092528543</v>
      </c>
      <c r="F91" s="6">
        <f t="shared" si="8"/>
        <v>-82.87490925285428</v>
      </c>
      <c r="G91" s="6">
        <f t="shared" si="9"/>
        <v>-89.99993155815176</v>
      </c>
      <c r="H91" s="6">
        <f t="shared" si="10"/>
        <v>-89.99993155815176</v>
      </c>
    </row>
    <row r="92" spans="1:8" ht="12" customHeight="1">
      <c r="A92" s="82"/>
      <c r="B92" s="4" t="s">
        <v>26</v>
      </c>
      <c r="C92" s="5" t="s">
        <v>130</v>
      </c>
      <c r="D92" s="2" t="s">
        <v>124</v>
      </c>
      <c r="E92" s="6">
        <f t="shared" si="7"/>
        <v>-191.94030717977813</v>
      </c>
      <c r="F92" s="6">
        <f t="shared" si="8"/>
        <v>-101.94030717977815</v>
      </c>
      <c r="G92" s="6">
        <f t="shared" si="9"/>
        <v>-107.65090510893273</v>
      </c>
      <c r="H92" s="6">
        <f t="shared" si="10"/>
        <v>-107.65090510893273</v>
      </c>
    </row>
    <row r="93" spans="1:8" ht="12" customHeight="1">
      <c r="A93" s="82"/>
      <c r="B93" s="4" t="s">
        <v>27</v>
      </c>
      <c r="C93" s="5" t="s">
        <v>130</v>
      </c>
      <c r="D93" s="2" t="s">
        <v>124</v>
      </c>
      <c r="E93" s="6">
        <f t="shared" si="7"/>
        <v>-215.72134159066866</v>
      </c>
      <c r="F93" s="6">
        <f t="shared" si="8"/>
        <v>-125.72134159066866</v>
      </c>
      <c r="G93" s="6">
        <f t="shared" si="9"/>
        <v>-129.80696180993294</v>
      </c>
      <c r="H93" s="6">
        <f t="shared" si="10"/>
        <v>-129.80696180993291</v>
      </c>
    </row>
    <row r="94" spans="1:8" ht="12" customHeight="1">
      <c r="A94" s="82"/>
      <c r="B94" s="4" t="s">
        <v>28</v>
      </c>
      <c r="C94" s="5" t="s">
        <v>130</v>
      </c>
      <c r="D94" s="2" t="s">
        <v>124</v>
      </c>
      <c r="E94" s="6">
        <f t="shared" si="7"/>
        <v>-233.1798559071545</v>
      </c>
      <c r="F94" s="6">
        <f t="shared" si="8"/>
        <v>-143.1798559071545</v>
      </c>
      <c r="G94" s="6">
        <f t="shared" si="9"/>
        <v>-146.04226354701763</v>
      </c>
      <c r="H94" s="6">
        <f t="shared" si="10"/>
        <v>-146.04226354701763</v>
      </c>
    </row>
    <row r="95" spans="1:8" ht="12" customHeight="1">
      <c r="A95" s="82"/>
      <c r="B95" s="4" t="s">
        <v>29</v>
      </c>
      <c r="C95" s="5" t="s">
        <v>130</v>
      </c>
      <c r="D95" s="2" t="s">
        <v>124</v>
      </c>
      <c r="E95" s="6">
        <f t="shared" si="7"/>
        <v>-245.99395323688242</v>
      </c>
      <c r="F95" s="6">
        <f t="shared" si="8"/>
        <v>-155.99395323688242</v>
      </c>
      <c r="G95" s="6">
        <f t="shared" si="9"/>
        <v>-157.90310728127884</v>
      </c>
      <c r="H95" s="6">
        <f t="shared" si="10"/>
        <v>-157.90310728127884</v>
      </c>
    </row>
    <row r="96" spans="1:8" ht="12" customHeight="1">
      <c r="A96" s="83"/>
      <c r="B96" s="4" t="s">
        <v>30</v>
      </c>
      <c r="C96" s="5" t="s">
        <v>130</v>
      </c>
      <c r="D96" s="2" t="s">
        <v>124</v>
      </c>
      <c r="E96" s="6">
        <f t="shared" si="7"/>
        <v>-252.1514480199429</v>
      </c>
      <c r="F96" s="6">
        <f t="shared" si="8"/>
        <v>-162.1514480199429</v>
      </c>
      <c r="G96" s="6">
        <f t="shared" si="9"/>
        <v>-163.58354541324474</v>
      </c>
      <c r="H96" s="6">
        <f t="shared" si="10"/>
        <v>-163.58354541324474</v>
      </c>
    </row>
    <row r="97" spans="1:13" ht="12" customHeight="1">
      <c r="A97" s="81" t="s">
        <v>118</v>
      </c>
      <c r="B97" s="4">
        <v>20</v>
      </c>
      <c r="C97" s="5" t="s">
        <v>130</v>
      </c>
      <c r="D97" s="2" t="s">
        <v>127</v>
      </c>
      <c r="E97" s="6">
        <f aca="true" t="shared" si="11" ref="E97:G118">2*3.14159*$B97*E$18*0.001</f>
        <v>0.04242637103514005</v>
      </c>
      <c r="F97" s="6">
        <f t="shared" si="11"/>
        <v>0.04242637103514005</v>
      </c>
      <c r="G97" s="6">
        <f t="shared" si="11"/>
        <v>0.23999979728067242</v>
      </c>
      <c r="H97" s="6"/>
      <c r="J97" s="10"/>
      <c r="K97" s="10"/>
      <c r="L97" s="10"/>
      <c r="M97" s="10"/>
    </row>
    <row r="98" spans="1:8" ht="12" customHeight="1">
      <c r="A98" s="82"/>
      <c r="B98" s="4">
        <v>30</v>
      </c>
      <c r="C98" s="5" t="s">
        <v>130</v>
      </c>
      <c r="D98" s="2" t="s">
        <v>127</v>
      </c>
      <c r="E98" s="6">
        <f t="shared" si="11"/>
        <v>0.06363955655271007</v>
      </c>
      <c r="F98" s="6">
        <f t="shared" si="11"/>
        <v>0.06363955655271007</v>
      </c>
      <c r="G98" s="6">
        <f t="shared" si="11"/>
        <v>0.3599996959210086</v>
      </c>
      <c r="H98" s="6"/>
    </row>
    <row r="99" spans="1:8" ht="12" customHeight="1">
      <c r="A99" s="82"/>
      <c r="B99" s="4">
        <v>40</v>
      </c>
      <c r="C99" s="5" t="s">
        <v>130</v>
      </c>
      <c r="D99" s="2" t="s">
        <v>127</v>
      </c>
      <c r="E99" s="6">
        <f t="shared" si="11"/>
        <v>0.0848527420702801</v>
      </c>
      <c r="F99" s="6">
        <f t="shared" si="11"/>
        <v>0.0848527420702801</v>
      </c>
      <c r="G99" s="6">
        <f t="shared" si="11"/>
        <v>0.47999959456134483</v>
      </c>
      <c r="H99" s="6"/>
    </row>
    <row r="100" spans="1:8" ht="12" customHeight="1">
      <c r="A100" s="82"/>
      <c r="B100" s="4">
        <v>50</v>
      </c>
      <c r="C100" s="5" t="s">
        <v>130</v>
      </c>
      <c r="D100" s="2" t="s">
        <v>127</v>
      </c>
      <c r="E100" s="6">
        <f t="shared" si="11"/>
        <v>0.10606592758785013</v>
      </c>
      <c r="F100" s="6">
        <f t="shared" si="11"/>
        <v>0.10606592758785013</v>
      </c>
      <c r="G100" s="6">
        <f t="shared" si="11"/>
        <v>0.5999994932016811</v>
      </c>
      <c r="H100" s="6"/>
    </row>
    <row r="101" spans="1:8" ht="12" customHeight="1">
      <c r="A101" s="82"/>
      <c r="B101" s="4">
        <v>70</v>
      </c>
      <c r="C101" s="5" t="s">
        <v>130</v>
      </c>
      <c r="D101" s="2" t="s">
        <v>127</v>
      </c>
      <c r="E101" s="6">
        <f t="shared" si="11"/>
        <v>0.14849229862299018</v>
      </c>
      <c r="F101" s="6">
        <f t="shared" si="11"/>
        <v>0.14849229862299018</v>
      </c>
      <c r="G101" s="6">
        <f t="shared" si="11"/>
        <v>0.8399992904823533</v>
      </c>
      <c r="H101" s="6"/>
    </row>
    <row r="102" spans="1:8" ht="12" customHeight="1">
      <c r="A102" s="82"/>
      <c r="B102" s="4">
        <v>100</v>
      </c>
      <c r="C102" s="5" t="s">
        <v>130</v>
      </c>
      <c r="D102" s="2" t="s">
        <v>127</v>
      </c>
      <c r="E102" s="6">
        <f t="shared" si="11"/>
        <v>0.21213185517570027</v>
      </c>
      <c r="F102" s="6">
        <f t="shared" si="11"/>
        <v>0.21213185517570027</v>
      </c>
      <c r="G102" s="6">
        <f t="shared" si="11"/>
        <v>1.1999989864033622</v>
      </c>
      <c r="H102" s="6"/>
    </row>
    <row r="103" spans="1:8" ht="12" customHeight="1">
      <c r="A103" s="82"/>
      <c r="B103" s="4">
        <v>150</v>
      </c>
      <c r="C103" s="5" t="s">
        <v>130</v>
      </c>
      <c r="D103" s="2" t="s">
        <v>127</v>
      </c>
      <c r="E103" s="6">
        <f t="shared" si="11"/>
        <v>0.3181977827635504</v>
      </c>
      <c r="F103" s="6">
        <f t="shared" si="11"/>
        <v>0.3181977827635504</v>
      </c>
      <c r="G103" s="6">
        <f t="shared" si="11"/>
        <v>1.799998479605043</v>
      </c>
      <c r="H103" s="6"/>
    </row>
    <row r="104" spans="1:8" ht="12" customHeight="1">
      <c r="A104" s="82"/>
      <c r="B104" s="4">
        <v>200</v>
      </c>
      <c r="C104" s="5" t="s">
        <v>130</v>
      </c>
      <c r="D104" s="2" t="s">
        <v>127</v>
      </c>
      <c r="E104" s="6">
        <f t="shared" si="11"/>
        <v>0.42426371035140054</v>
      </c>
      <c r="F104" s="6">
        <f t="shared" si="11"/>
        <v>0.42426371035140054</v>
      </c>
      <c r="G104" s="6">
        <f t="shared" si="11"/>
        <v>2.3999979728067244</v>
      </c>
      <c r="H104" s="6"/>
    </row>
    <row r="105" spans="1:8" ht="12" customHeight="1">
      <c r="A105" s="82"/>
      <c r="B105" s="4">
        <v>300</v>
      </c>
      <c r="C105" s="5" t="s">
        <v>130</v>
      </c>
      <c r="D105" s="2" t="s">
        <v>127</v>
      </c>
      <c r="E105" s="6">
        <f t="shared" si="11"/>
        <v>0.6363955655271007</v>
      </c>
      <c r="F105" s="6">
        <f t="shared" si="11"/>
        <v>0.6363955655271007</v>
      </c>
      <c r="G105" s="6">
        <f t="shared" si="11"/>
        <v>3.599996959210086</v>
      </c>
      <c r="H105" s="6"/>
    </row>
    <row r="106" spans="1:8" ht="12" customHeight="1">
      <c r="A106" s="82"/>
      <c r="B106" s="4">
        <v>400</v>
      </c>
      <c r="C106" s="5" t="s">
        <v>130</v>
      </c>
      <c r="D106" s="2" t="s">
        <v>127</v>
      </c>
      <c r="E106" s="6">
        <f t="shared" si="11"/>
        <v>0.8485274207028011</v>
      </c>
      <c r="F106" s="6">
        <f t="shared" si="11"/>
        <v>0.8485274207028011</v>
      </c>
      <c r="G106" s="6">
        <f t="shared" si="11"/>
        <v>4.799995945613449</v>
      </c>
      <c r="H106" s="6"/>
    </row>
    <row r="107" spans="1:8" ht="12" customHeight="1">
      <c r="A107" s="82"/>
      <c r="B107" s="4">
        <v>500</v>
      </c>
      <c r="C107" s="5" t="s">
        <v>130</v>
      </c>
      <c r="D107" s="2" t="s">
        <v>127</v>
      </c>
      <c r="E107" s="6">
        <f t="shared" si="11"/>
        <v>1.0606592758785012</v>
      </c>
      <c r="F107" s="6">
        <f t="shared" si="11"/>
        <v>1.0606592758785012</v>
      </c>
      <c r="G107" s="6">
        <f t="shared" si="11"/>
        <v>5.99999493201681</v>
      </c>
      <c r="H107" s="6"/>
    </row>
    <row r="108" spans="1:8" ht="12" customHeight="1">
      <c r="A108" s="82"/>
      <c r="B108" s="4">
        <v>700</v>
      </c>
      <c r="C108" s="5" t="s">
        <v>130</v>
      </c>
      <c r="D108" s="2" t="s">
        <v>127</v>
      </c>
      <c r="E108" s="6">
        <f t="shared" si="11"/>
        <v>1.4849229862299016</v>
      </c>
      <c r="F108" s="6">
        <f t="shared" si="11"/>
        <v>1.4849229862299016</v>
      </c>
      <c r="G108" s="6">
        <f t="shared" si="11"/>
        <v>8.399992904823534</v>
      </c>
      <c r="H108" s="6"/>
    </row>
    <row r="109" spans="1:8" ht="12" customHeight="1">
      <c r="A109" s="82"/>
      <c r="B109" s="4">
        <v>1000</v>
      </c>
      <c r="C109" s="5" t="s">
        <v>130</v>
      </c>
      <c r="D109" s="2" t="s">
        <v>127</v>
      </c>
      <c r="E109" s="6">
        <f t="shared" si="11"/>
        <v>2.1213185517570023</v>
      </c>
      <c r="F109" s="6">
        <f t="shared" si="11"/>
        <v>2.1213185517570023</v>
      </c>
      <c r="G109" s="6">
        <f t="shared" si="11"/>
        <v>11.99998986403362</v>
      </c>
      <c r="H109" s="6"/>
    </row>
    <row r="110" spans="1:8" ht="12" customHeight="1">
      <c r="A110" s="82"/>
      <c r="B110" s="4">
        <v>1500</v>
      </c>
      <c r="C110" s="5" t="s">
        <v>130</v>
      </c>
      <c r="D110" s="2" t="s">
        <v>127</v>
      </c>
      <c r="E110" s="6">
        <f t="shared" si="11"/>
        <v>3.1819778276355044</v>
      </c>
      <c r="F110" s="6">
        <f t="shared" si="11"/>
        <v>3.1819778276355044</v>
      </c>
      <c r="G110" s="6">
        <f t="shared" si="11"/>
        <v>17.99998479605043</v>
      </c>
      <c r="H110" s="6"/>
    </row>
    <row r="111" spans="1:8" ht="12" customHeight="1">
      <c r="A111" s="82"/>
      <c r="B111" s="4">
        <v>2000</v>
      </c>
      <c r="C111" s="5" t="s">
        <v>130</v>
      </c>
      <c r="D111" s="2" t="s">
        <v>127</v>
      </c>
      <c r="E111" s="6">
        <f t="shared" si="11"/>
        <v>4.242637103514005</v>
      </c>
      <c r="F111" s="6">
        <f t="shared" si="11"/>
        <v>4.242637103514005</v>
      </c>
      <c r="G111" s="6">
        <f t="shared" si="11"/>
        <v>23.99997972806724</v>
      </c>
      <c r="H111" s="6"/>
    </row>
    <row r="112" spans="1:8" ht="12" customHeight="1">
      <c r="A112" s="82"/>
      <c r="B112" s="4">
        <v>3000</v>
      </c>
      <c r="C112" s="5" t="s">
        <v>130</v>
      </c>
      <c r="D112" s="2" t="s">
        <v>127</v>
      </c>
      <c r="E112" s="6">
        <f t="shared" si="11"/>
        <v>6.363955655271009</v>
      </c>
      <c r="F112" s="6">
        <f t="shared" si="11"/>
        <v>6.363955655271009</v>
      </c>
      <c r="G112" s="6">
        <f t="shared" si="11"/>
        <v>35.99996959210086</v>
      </c>
      <c r="H112" s="6"/>
    </row>
    <row r="113" spans="1:8" ht="12" customHeight="1">
      <c r="A113" s="82"/>
      <c r="B113" s="4">
        <v>4000</v>
      </c>
      <c r="C113" s="5" t="s">
        <v>130</v>
      </c>
      <c r="D113" s="2" t="s">
        <v>127</v>
      </c>
      <c r="E113" s="6">
        <f t="shared" si="11"/>
        <v>8.48527420702801</v>
      </c>
      <c r="F113" s="6">
        <f t="shared" si="11"/>
        <v>8.48527420702801</v>
      </c>
      <c r="G113" s="6">
        <f t="shared" si="11"/>
        <v>47.99995945613448</v>
      </c>
      <c r="H113" s="6"/>
    </row>
    <row r="114" spans="1:8" ht="12" customHeight="1">
      <c r="A114" s="82"/>
      <c r="B114" s="4">
        <v>5000</v>
      </c>
      <c r="C114" s="5" t="s">
        <v>130</v>
      </c>
      <c r="D114" s="2" t="s">
        <v>127</v>
      </c>
      <c r="E114" s="6">
        <f t="shared" si="11"/>
        <v>10.606592758785013</v>
      </c>
      <c r="F114" s="6">
        <f t="shared" si="11"/>
        <v>10.606592758785013</v>
      </c>
      <c r="G114" s="6">
        <f t="shared" si="11"/>
        <v>59.9999493201681</v>
      </c>
      <c r="H114" s="6"/>
    </row>
    <row r="115" spans="1:8" ht="12" customHeight="1">
      <c r="A115" s="82"/>
      <c r="B115" s="4">
        <v>7000</v>
      </c>
      <c r="C115" s="5" t="s">
        <v>130</v>
      </c>
      <c r="D115" s="2" t="s">
        <v>127</v>
      </c>
      <c r="E115" s="6">
        <f t="shared" si="11"/>
        <v>14.849229862299017</v>
      </c>
      <c r="F115" s="6">
        <f t="shared" si="11"/>
        <v>14.849229862299017</v>
      </c>
      <c r="G115" s="6">
        <f t="shared" si="11"/>
        <v>83.99992904823534</v>
      </c>
      <c r="H115" s="6"/>
    </row>
    <row r="116" spans="1:8" ht="12" customHeight="1">
      <c r="A116" s="82"/>
      <c r="B116" s="4">
        <v>10000</v>
      </c>
      <c r="C116" s="5" t="s">
        <v>130</v>
      </c>
      <c r="D116" s="2" t="s">
        <v>127</v>
      </c>
      <c r="E116" s="6">
        <f t="shared" si="11"/>
        <v>21.213185517570025</v>
      </c>
      <c r="F116" s="6">
        <f t="shared" si="11"/>
        <v>21.213185517570025</v>
      </c>
      <c r="G116" s="6">
        <f t="shared" si="11"/>
        <v>119.9998986403362</v>
      </c>
      <c r="H116" s="6"/>
    </row>
    <row r="117" spans="1:8" ht="12" customHeight="1">
      <c r="A117" s="82"/>
      <c r="B117" s="4">
        <v>15000</v>
      </c>
      <c r="C117" s="5" t="s">
        <v>130</v>
      </c>
      <c r="D117" s="2" t="s">
        <v>127</v>
      </c>
      <c r="E117" s="6">
        <f t="shared" si="11"/>
        <v>31.819778276355038</v>
      </c>
      <c r="F117" s="6">
        <f t="shared" si="11"/>
        <v>31.819778276355038</v>
      </c>
      <c r="G117" s="6">
        <f t="shared" si="11"/>
        <v>179.9998479605043</v>
      </c>
      <c r="H117" s="6"/>
    </row>
    <row r="118" spans="1:8" ht="12" customHeight="1">
      <c r="A118" s="83"/>
      <c r="B118" s="4">
        <v>20000</v>
      </c>
      <c r="C118" s="5" t="s">
        <v>130</v>
      </c>
      <c r="D118" s="2" t="s">
        <v>127</v>
      </c>
      <c r="E118" s="6">
        <f t="shared" si="11"/>
        <v>42.42637103514005</v>
      </c>
      <c r="F118" s="6">
        <f t="shared" si="11"/>
        <v>42.42637103514005</v>
      </c>
      <c r="G118" s="6">
        <f t="shared" si="11"/>
        <v>239.9997972806724</v>
      </c>
      <c r="H118" s="6"/>
    </row>
    <row r="119" spans="1:13" ht="12" customHeight="1">
      <c r="A119" s="81" t="s">
        <v>119</v>
      </c>
      <c r="B119" s="4">
        <v>20</v>
      </c>
      <c r="C119" s="5" t="s">
        <v>130</v>
      </c>
      <c r="D119" s="2" t="s">
        <v>127</v>
      </c>
      <c r="E119" s="6">
        <f aca="true" t="shared" si="12" ref="E119:G140">1/(2*3.14159*$B97*E$19/1000000)</f>
        <v>1697.0577082910372</v>
      </c>
      <c r="F119" s="6">
        <f t="shared" si="12"/>
        <v>1697.0577082910372</v>
      </c>
      <c r="G119" s="6">
        <f t="shared" si="12"/>
        <v>150.00012669968677</v>
      </c>
      <c r="H119" s="6"/>
      <c r="J119" s="10"/>
      <c r="K119" s="10"/>
      <c r="L119" s="10"/>
      <c r="M119" s="10"/>
    </row>
    <row r="120" spans="1:8" ht="12" customHeight="1">
      <c r="A120" s="82"/>
      <c r="B120" s="4">
        <v>30</v>
      </c>
      <c r="C120" s="5" t="s">
        <v>130</v>
      </c>
      <c r="D120" s="2" t="s">
        <v>127</v>
      </c>
      <c r="E120" s="6">
        <f t="shared" si="12"/>
        <v>1131.371805527358</v>
      </c>
      <c r="F120" s="6">
        <f t="shared" si="12"/>
        <v>1131.371805527358</v>
      </c>
      <c r="G120" s="6">
        <f t="shared" si="12"/>
        <v>100.00008446645785</v>
      </c>
      <c r="H120" s="6"/>
    </row>
    <row r="121" spans="1:8" ht="12" customHeight="1">
      <c r="A121" s="82"/>
      <c r="B121" s="4">
        <v>40</v>
      </c>
      <c r="C121" s="5" t="s">
        <v>130</v>
      </c>
      <c r="D121" s="2" t="s">
        <v>127</v>
      </c>
      <c r="E121" s="6">
        <f t="shared" si="12"/>
        <v>848.5288541455186</v>
      </c>
      <c r="F121" s="6">
        <f t="shared" si="12"/>
        <v>848.5288541455186</v>
      </c>
      <c r="G121" s="6">
        <f t="shared" si="12"/>
        <v>75.00006334984339</v>
      </c>
      <c r="H121" s="6"/>
    </row>
    <row r="122" spans="1:8" ht="12" customHeight="1">
      <c r="A122" s="82"/>
      <c r="B122" s="4">
        <v>50</v>
      </c>
      <c r="C122" s="5" t="s">
        <v>130</v>
      </c>
      <c r="D122" s="2" t="s">
        <v>127</v>
      </c>
      <c r="E122" s="6">
        <f t="shared" si="12"/>
        <v>678.8230833164149</v>
      </c>
      <c r="F122" s="6">
        <f t="shared" si="12"/>
        <v>678.8230833164149</v>
      </c>
      <c r="G122" s="6">
        <f t="shared" si="12"/>
        <v>60.000050679874704</v>
      </c>
      <c r="H122" s="6"/>
    </row>
    <row r="123" spans="1:8" ht="12" customHeight="1">
      <c r="A123" s="82"/>
      <c r="B123" s="4">
        <v>70</v>
      </c>
      <c r="C123" s="5" t="s">
        <v>130</v>
      </c>
      <c r="D123" s="2" t="s">
        <v>127</v>
      </c>
      <c r="E123" s="6">
        <f t="shared" si="12"/>
        <v>484.8736309402964</v>
      </c>
      <c r="F123" s="6">
        <f t="shared" si="12"/>
        <v>484.8736309402964</v>
      </c>
      <c r="G123" s="6">
        <f t="shared" si="12"/>
        <v>42.85717905705337</v>
      </c>
      <c r="H123" s="6"/>
    </row>
    <row r="124" spans="1:8" ht="12" customHeight="1">
      <c r="A124" s="82"/>
      <c r="B124" s="4">
        <v>100</v>
      </c>
      <c r="C124" s="5" t="s">
        <v>130</v>
      </c>
      <c r="D124" s="2" t="s">
        <v>127</v>
      </c>
      <c r="E124" s="6">
        <f t="shared" si="12"/>
        <v>339.41154165820745</v>
      </c>
      <c r="F124" s="6">
        <f t="shared" si="12"/>
        <v>339.41154165820745</v>
      </c>
      <c r="G124" s="6">
        <f t="shared" si="12"/>
        <v>30.000025339937352</v>
      </c>
      <c r="H124" s="6"/>
    </row>
    <row r="125" spans="1:8" ht="12" customHeight="1">
      <c r="A125" s="82"/>
      <c r="B125" s="4">
        <v>150</v>
      </c>
      <c r="C125" s="5" t="s">
        <v>130</v>
      </c>
      <c r="D125" s="2" t="s">
        <v>127</v>
      </c>
      <c r="E125" s="6">
        <f t="shared" si="12"/>
        <v>226.27436110547163</v>
      </c>
      <c r="F125" s="6">
        <f t="shared" si="12"/>
        <v>226.27436110547163</v>
      </c>
      <c r="G125" s="6">
        <f t="shared" si="12"/>
        <v>20.00001689329157</v>
      </c>
      <c r="H125" s="6"/>
    </row>
    <row r="126" spans="1:8" ht="12" customHeight="1">
      <c r="A126" s="82"/>
      <c r="B126" s="4">
        <v>200</v>
      </c>
      <c r="C126" s="5" t="s">
        <v>130</v>
      </c>
      <c r="D126" s="2" t="s">
        <v>127</v>
      </c>
      <c r="E126" s="6">
        <f t="shared" si="12"/>
        <v>169.70577082910373</v>
      </c>
      <c r="F126" s="6">
        <f t="shared" si="12"/>
        <v>169.70577082910373</v>
      </c>
      <c r="G126" s="6">
        <f t="shared" si="12"/>
        <v>15.000012669968676</v>
      </c>
      <c r="H126" s="6"/>
    </row>
    <row r="127" spans="1:8" ht="12" customHeight="1">
      <c r="A127" s="82"/>
      <c r="B127" s="4">
        <v>300</v>
      </c>
      <c r="C127" s="5" t="s">
        <v>130</v>
      </c>
      <c r="D127" s="2" t="s">
        <v>127</v>
      </c>
      <c r="E127" s="6">
        <f t="shared" si="12"/>
        <v>113.13718055273581</v>
      </c>
      <c r="F127" s="6">
        <f t="shared" si="12"/>
        <v>113.13718055273581</v>
      </c>
      <c r="G127" s="6">
        <f t="shared" si="12"/>
        <v>10.000008446645785</v>
      </c>
      <c r="H127" s="6"/>
    </row>
    <row r="128" spans="1:8" ht="12" customHeight="1">
      <c r="A128" s="82"/>
      <c r="B128" s="4">
        <v>400</v>
      </c>
      <c r="C128" s="5" t="s">
        <v>130</v>
      </c>
      <c r="D128" s="2" t="s">
        <v>127</v>
      </c>
      <c r="E128" s="6">
        <f t="shared" si="12"/>
        <v>84.85288541455186</v>
      </c>
      <c r="F128" s="6">
        <f t="shared" si="12"/>
        <v>84.85288541455186</v>
      </c>
      <c r="G128" s="6">
        <f t="shared" si="12"/>
        <v>7.500006334984338</v>
      </c>
      <c r="H128" s="6"/>
    </row>
    <row r="129" spans="1:8" ht="12" customHeight="1">
      <c r="A129" s="82"/>
      <c r="B129" s="4">
        <v>500</v>
      </c>
      <c r="C129" s="5" t="s">
        <v>130</v>
      </c>
      <c r="D129" s="2" t="s">
        <v>127</v>
      </c>
      <c r="E129" s="6">
        <f t="shared" si="12"/>
        <v>67.8823083316415</v>
      </c>
      <c r="F129" s="6">
        <f t="shared" si="12"/>
        <v>67.8823083316415</v>
      </c>
      <c r="G129" s="6">
        <f t="shared" si="12"/>
        <v>6.000005067987472</v>
      </c>
      <c r="H129" s="6"/>
    </row>
    <row r="130" spans="1:8" ht="12" customHeight="1">
      <c r="A130" s="82"/>
      <c r="B130" s="4">
        <v>700</v>
      </c>
      <c r="C130" s="5" t="s">
        <v>130</v>
      </c>
      <c r="D130" s="2" t="s">
        <v>127</v>
      </c>
      <c r="E130" s="6">
        <f t="shared" si="12"/>
        <v>48.48736309402964</v>
      </c>
      <c r="F130" s="6">
        <f t="shared" si="12"/>
        <v>48.48736309402964</v>
      </c>
      <c r="G130" s="6">
        <f t="shared" si="12"/>
        <v>4.2857179057053365</v>
      </c>
      <c r="H130" s="6"/>
    </row>
    <row r="131" spans="1:8" ht="12" customHeight="1">
      <c r="A131" s="82"/>
      <c r="B131" s="4">
        <v>1000</v>
      </c>
      <c r="C131" s="5" t="s">
        <v>130</v>
      </c>
      <c r="D131" s="2" t="s">
        <v>127</v>
      </c>
      <c r="E131" s="6">
        <f t="shared" si="12"/>
        <v>33.94115416582075</v>
      </c>
      <c r="F131" s="6">
        <f t="shared" si="12"/>
        <v>33.94115416582075</v>
      </c>
      <c r="G131" s="6">
        <f t="shared" si="12"/>
        <v>3.000002533993736</v>
      </c>
      <c r="H131" s="6"/>
    </row>
    <row r="132" spans="1:8" ht="12" customHeight="1">
      <c r="A132" s="82"/>
      <c r="B132" s="4">
        <v>1500</v>
      </c>
      <c r="C132" s="5" t="s">
        <v>130</v>
      </c>
      <c r="D132" s="2" t="s">
        <v>127</v>
      </c>
      <c r="E132" s="6">
        <f t="shared" si="12"/>
        <v>22.62743611054716</v>
      </c>
      <c r="F132" s="6">
        <f t="shared" si="12"/>
        <v>22.62743611054716</v>
      </c>
      <c r="G132" s="6">
        <f t="shared" si="12"/>
        <v>2.000001689329157</v>
      </c>
      <c r="H132" s="6"/>
    </row>
    <row r="133" spans="1:8" ht="12" customHeight="1">
      <c r="A133" s="82"/>
      <c r="B133" s="4">
        <v>2000</v>
      </c>
      <c r="C133" s="5" t="s">
        <v>130</v>
      </c>
      <c r="D133" s="2" t="s">
        <v>127</v>
      </c>
      <c r="E133" s="6">
        <f t="shared" si="12"/>
        <v>16.970577082910374</v>
      </c>
      <c r="F133" s="6">
        <f t="shared" si="12"/>
        <v>16.970577082910374</v>
      </c>
      <c r="G133" s="6">
        <f t="shared" si="12"/>
        <v>1.500001266996868</v>
      </c>
      <c r="H133" s="6"/>
    </row>
    <row r="134" spans="1:8" ht="12" customHeight="1">
      <c r="A134" s="82"/>
      <c r="B134" s="4">
        <v>3000</v>
      </c>
      <c r="C134" s="5" t="s">
        <v>130</v>
      </c>
      <c r="D134" s="2" t="s">
        <v>127</v>
      </c>
      <c r="E134" s="6">
        <f t="shared" si="12"/>
        <v>11.31371805527358</v>
      </c>
      <c r="F134" s="6">
        <f t="shared" si="12"/>
        <v>11.31371805527358</v>
      </c>
      <c r="G134" s="6">
        <f t="shared" si="12"/>
        <v>1.0000008446645785</v>
      </c>
      <c r="H134" s="6"/>
    </row>
    <row r="135" spans="1:8" ht="12" customHeight="1">
      <c r="A135" s="82"/>
      <c r="B135" s="4">
        <v>4000</v>
      </c>
      <c r="C135" s="5" t="s">
        <v>130</v>
      </c>
      <c r="D135" s="2" t="s">
        <v>127</v>
      </c>
      <c r="E135" s="6">
        <f t="shared" si="12"/>
        <v>8.485288541455187</v>
      </c>
      <c r="F135" s="6">
        <f t="shared" si="12"/>
        <v>8.485288541455187</v>
      </c>
      <c r="G135" s="6">
        <f t="shared" si="12"/>
        <v>0.750000633498434</v>
      </c>
      <c r="H135" s="6"/>
    </row>
    <row r="136" spans="1:8" ht="12" customHeight="1">
      <c r="A136" s="82"/>
      <c r="B136" s="4">
        <v>5000</v>
      </c>
      <c r="C136" s="5" t="s">
        <v>130</v>
      </c>
      <c r="D136" s="2" t="s">
        <v>127</v>
      </c>
      <c r="E136" s="6">
        <f t="shared" si="12"/>
        <v>6.788230833164149</v>
      </c>
      <c r="F136" s="6">
        <f t="shared" si="12"/>
        <v>6.788230833164149</v>
      </c>
      <c r="G136" s="6">
        <f t="shared" si="12"/>
        <v>0.6000005067987472</v>
      </c>
      <c r="H136" s="6"/>
    </row>
    <row r="137" spans="1:8" ht="12" customHeight="1">
      <c r="A137" s="82"/>
      <c r="B137" s="4">
        <v>7000</v>
      </c>
      <c r="C137" s="5" t="s">
        <v>130</v>
      </c>
      <c r="D137" s="2" t="s">
        <v>127</v>
      </c>
      <c r="E137" s="6">
        <f t="shared" si="12"/>
        <v>4.848736309402963</v>
      </c>
      <c r="F137" s="6">
        <f t="shared" si="12"/>
        <v>4.848736309402963</v>
      </c>
      <c r="G137" s="6">
        <f t="shared" si="12"/>
        <v>0.4285717905705337</v>
      </c>
      <c r="H137" s="6"/>
    </row>
    <row r="138" spans="1:8" ht="12" customHeight="1">
      <c r="A138" s="82"/>
      <c r="B138" s="4">
        <v>10000</v>
      </c>
      <c r="C138" s="5" t="s">
        <v>130</v>
      </c>
      <c r="D138" s="2" t="s">
        <v>127</v>
      </c>
      <c r="E138" s="6">
        <f t="shared" si="12"/>
        <v>3.3941154165820744</v>
      </c>
      <c r="F138" s="6">
        <f t="shared" si="12"/>
        <v>3.3941154165820744</v>
      </c>
      <c r="G138" s="6">
        <f t="shared" si="12"/>
        <v>0.3000002533993736</v>
      </c>
      <c r="H138" s="6"/>
    </row>
    <row r="139" spans="1:8" ht="12" customHeight="1">
      <c r="A139" s="82"/>
      <c r="B139" s="4">
        <v>15000</v>
      </c>
      <c r="C139" s="5" t="s">
        <v>130</v>
      </c>
      <c r="D139" s="2" t="s">
        <v>127</v>
      </c>
      <c r="E139" s="6">
        <f t="shared" si="12"/>
        <v>2.262743611054716</v>
      </c>
      <c r="F139" s="6">
        <f t="shared" si="12"/>
        <v>2.262743611054716</v>
      </c>
      <c r="G139" s="6">
        <f t="shared" si="12"/>
        <v>0.20000016893291567</v>
      </c>
      <c r="H139" s="6"/>
    </row>
    <row r="140" spans="1:8" ht="12" customHeight="1">
      <c r="A140" s="83"/>
      <c r="B140" s="4">
        <v>20000</v>
      </c>
      <c r="C140" s="5" t="s">
        <v>130</v>
      </c>
      <c r="D140" s="2" t="s">
        <v>127</v>
      </c>
      <c r="E140" s="6">
        <f t="shared" si="12"/>
        <v>1.6970577082910372</v>
      </c>
      <c r="F140" s="6">
        <f t="shared" si="12"/>
        <v>1.6970577082910372</v>
      </c>
      <c r="G140" s="6">
        <f t="shared" si="12"/>
        <v>0.1500001266996868</v>
      </c>
      <c r="H140" s="6"/>
    </row>
    <row r="141" spans="1:13" ht="12" customHeight="1">
      <c r="A141" s="81" t="s">
        <v>120</v>
      </c>
      <c r="B141" s="4">
        <v>20</v>
      </c>
      <c r="C141" s="5" t="s">
        <v>130</v>
      </c>
      <c r="D141" s="67" t="s">
        <v>126</v>
      </c>
      <c r="E141" s="7">
        <f>E119^2*F141/(E97^2*E119^2*F141^2+(E97*(1+F163*E119)-E119)^2)</f>
        <v>0.16666666656250037</v>
      </c>
      <c r="F141" s="7">
        <f aca="true" t="shared" si="13" ref="F141:F162">E$28/(E$28^2+G97^2)+F$28/(F$28^2+G119^2)</f>
        <v>0.16666666666666669</v>
      </c>
      <c r="G141" s="7"/>
      <c r="H141" s="6">
        <f>(G$28*F97^2)/(F97^2*F119^2+G$28^2*(F97-F119)^2)+E141</f>
        <v>0.16666666666666669</v>
      </c>
      <c r="J141" s="10"/>
      <c r="K141" s="10"/>
      <c r="L141" s="10"/>
      <c r="M141" s="10"/>
    </row>
    <row r="142" spans="1:8" ht="12" customHeight="1">
      <c r="A142" s="82"/>
      <c r="B142" s="4">
        <v>30</v>
      </c>
      <c r="C142" s="5" t="s">
        <v>130</v>
      </c>
      <c r="D142" s="67" t="s">
        <v>126</v>
      </c>
      <c r="E142" s="7">
        <f aca="true" t="shared" si="14" ref="E142:E162">E120^2*F142/(E98^2*E120^2*F142^2+(E98*(1+F164*E120)-E120)^2)</f>
        <v>0.1666666661393247</v>
      </c>
      <c r="F142" s="7">
        <f t="shared" si="13"/>
        <v>0.16666666666666666</v>
      </c>
      <c r="G142" s="7"/>
      <c r="H142" s="6">
        <f aca="true" t="shared" si="15" ref="H142:H162">(G$28*F98^2)/(F98^2*F120^2+G$28^2*(F98-F120)^2)+E142</f>
        <v>0.16666666666666669</v>
      </c>
    </row>
    <row r="143" spans="1:8" ht="12" customHeight="1">
      <c r="A143" s="82"/>
      <c r="B143" s="4">
        <v>40</v>
      </c>
      <c r="C143" s="5" t="s">
        <v>130</v>
      </c>
      <c r="D143" s="67" t="s">
        <v>126</v>
      </c>
      <c r="E143" s="7">
        <f t="shared" si="14"/>
        <v>0.16666666500000568</v>
      </c>
      <c r="F143" s="7">
        <f t="shared" si="13"/>
        <v>0.16666666666666669</v>
      </c>
      <c r="G143" s="7"/>
      <c r="H143" s="6">
        <f t="shared" si="15"/>
        <v>0.1666666666666667</v>
      </c>
    </row>
    <row r="144" spans="1:8" ht="12" customHeight="1">
      <c r="A144" s="82"/>
      <c r="B144" s="4">
        <v>50</v>
      </c>
      <c r="C144" s="5" t="s">
        <v>130</v>
      </c>
      <c r="D144" s="67" t="s">
        <v>126</v>
      </c>
      <c r="E144" s="7">
        <f t="shared" si="14"/>
        <v>0.16666666259767016</v>
      </c>
      <c r="F144" s="7">
        <f t="shared" si="13"/>
        <v>0.16666666666666669</v>
      </c>
      <c r="G144" s="7"/>
      <c r="H144" s="6">
        <f t="shared" si="15"/>
        <v>0.1666666666666667</v>
      </c>
    </row>
    <row r="145" spans="1:8" ht="12" customHeight="1">
      <c r="A145" s="82"/>
      <c r="B145" s="4">
        <v>70</v>
      </c>
      <c r="C145" s="5" t="s">
        <v>130</v>
      </c>
      <c r="D145" s="67" t="s">
        <v>126</v>
      </c>
      <c r="E145" s="7">
        <f t="shared" si="14"/>
        <v>0.16666665103521058</v>
      </c>
      <c r="F145" s="7">
        <f t="shared" si="13"/>
        <v>0.16666666666666669</v>
      </c>
      <c r="G145" s="7"/>
      <c r="H145" s="6">
        <f t="shared" si="15"/>
        <v>0.1666666666666667</v>
      </c>
    </row>
    <row r="146" spans="1:8" ht="12" customHeight="1">
      <c r="A146" s="82"/>
      <c r="B146" s="4">
        <v>100</v>
      </c>
      <c r="C146" s="5" t="s">
        <v>130</v>
      </c>
      <c r="D146" s="67" t="s">
        <v>126</v>
      </c>
      <c r="E146" s="7">
        <f t="shared" si="14"/>
        <v>0.1666666015627454</v>
      </c>
      <c r="F146" s="7">
        <f t="shared" si="13"/>
        <v>0.16666666666666669</v>
      </c>
      <c r="G146" s="7"/>
      <c r="H146" s="6">
        <f t="shared" si="15"/>
        <v>0.16666666666666669</v>
      </c>
    </row>
    <row r="147" spans="1:8" ht="12" customHeight="1">
      <c r="A147" s="82"/>
      <c r="B147" s="4">
        <v>150</v>
      </c>
      <c r="C147" s="5" t="s">
        <v>130</v>
      </c>
      <c r="D147" s="67" t="s">
        <v>126</v>
      </c>
      <c r="E147" s="7">
        <f t="shared" si="14"/>
        <v>0.16666633707858824</v>
      </c>
      <c r="F147" s="7">
        <f t="shared" si="13"/>
        <v>0.16666666666666666</v>
      </c>
      <c r="G147" s="7"/>
      <c r="H147" s="6">
        <f t="shared" si="15"/>
        <v>0.16666666666666666</v>
      </c>
    </row>
    <row r="148" spans="1:8" ht="12" customHeight="1">
      <c r="A148" s="82"/>
      <c r="B148" s="4">
        <v>200</v>
      </c>
      <c r="C148" s="5" t="s">
        <v>130</v>
      </c>
      <c r="D148" s="67" t="s">
        <v>126</v>
      </c>
      <c r="E148" s="7">
        <f t="shared" si="14"/>
        <v>0.16666562501002974</v>
      </c>
      <c r="F148" s="7">
        <f t="shared" si="13"/>
        <v>0.16666666666666666</v>
      </c>
      <c r="G148" s="7"/>
      <c r="H148" s="6">
        <f t="shared" si="15"/>
        <v>0.16666666666666666</v>
      </c>
    </row>
    <row r="149" spans="1:8" ht="12" customHeight="1">
      <c r="A149" s="82"/>
      <c r="B149" s="4">
        <v>300</v>
      </c>
      <c r="C149" s="5" t="s">
        <v>130</v>
      </c>
      <c r="D149" s="67" t="s">
        <v>126</v>
      </c>
      <c r="E149" s="7">
        <f t="shared" si="14"/>
        <v>0.1666613934138322</v>
      </c>
      <c r="F149" s="7">
        <f t="shared" si="13"/>
        <v>0.16666666666666666</v>
      </c>
      <c r="G149" s="7"/>
      <c r="H149" s="6">
        <f t="shared" si="15"/>
        <v>0.16666666666666666</v>
      </c>
    </row>
    <row r="150" spans="1:8" ht="12" customHeight="1">
      <c r="A150" s="82"/>
      <c r="B150" s="4">
        <v>400</v>
      </c>
      <c r="C150" s="5" t="s">
        <v>130</v>
      </c>
      <c r="D150" s="67" t="s">
        <v>126</v>
      </c>
      <c r="E150" s="7">
        <f t="shared" si="14"/>
        <v>0.1666500017227996</v>
      </c>
      <c r="F150" s="7">
        <f t="shared" si="13"/>
        <v>0.16666666666666666</v>
      </c>
      <c r="G150" s="7"/>
      <c r="H150" s="6">
        <f t="shared" si="15"/>
        <v>0.16666666666666666</v>
      </c>
    </row>
    <row r="151" spans="1:8" ht="12" customHeight="1">
      <c r="A151" s="82"/>
      <c r="B151" s="4">
        <v>500</v>
      </c>
      <c r="C151" s="5" t="s">
        <v>130</v>
      </c>
      <c r="D151" s="67" t="s">
        <v>126</v>
      </c>
      <c r="E151" s="7">
        <f t="shared" si="14"/>
        <v>0.16662598663159334</v>
      </c>
      <c r="F151" s="7">
        <f t="shared" si="13"/>
        <v>0.16666666666666669</v>
      </c>
      <c r="G151" s="7"/>
      <c r="H151" s="6">
        <f t="shared" si="15"/>
        <v>0.1666666666666667</v>
      </c>
    </row>
    <row r="152" spans="1:8" ht="12" customHeight="1">
      <c r="A152" s="82"/>
      <c r="B152" s="4">
        <v>700</v>
      </c>
      <c r="C152" s="5" t="s">
        <v>130</v>
      </c>
      <c r="D152" s="67" t="s">
        <v>126</v>
      </c>
      <c r="E152" s="7">
        <f t="shared" si="14"/>
        <v>0.1665104985587437</v>
      </c>
      <c r="F152" s="7">
        <f t="shared" si="13"/>
        <v>0.16666666666666666</v>
      </c>
      <c r="G152" s="7"/>
      <c r="H152" s="6">
        <f t="shared" si="15"/>
        <v>0.16666666666666669</v>
      </c>
    </row>
    <row r="153" spans="1:8" ht="12" customHeight="1">
      <c r="A153" s="82"/>
      <c r="B153" s="4" t="s">
        <v>1</v>
      </c>
      <c r="C153" s="5" t="s">
        <v>130</v>
      </c>
      <c r="D153" s="67" t="s">
        <v>126</v>
      </c>
      <c r="E153" s="7">
        <f t="shared" si="14"/>
        <v>0.16601816041861528</v>
      </c>
      <c r="F153" s="7">
        <f t="shared" si="13"/>
        <v>0.16666666666666669</v>
      </c>
      <c r="G153" s="7"/>
      <c r="H153" s="6">
        <f t="shared" si="15"/>
        <v>0.16666666666666669</v>
      </c>
    </row>
    <row r="154" spans="1:8" ht="12" customHeight="1">
      <c r="A154" s="82"/>
      <c r="B154" s="4" t="s">
        <v>2</v>
      </c>
      <c r="C154" s="5" t="s">
        <v>130</v>
      </c>
      <c r="D154" s="67" t="s">
        <v>126</v>
      </c>
      <c r="E154" s="7">
        <f t="shared" si="14"/>
        <v>0.16343469269666286</v>
      </c>
      <c r="F154" s="7">
        <f t="shared" si="13"/>
        <v>0.16666666666666666</v>
      </c>
      <c r="G154" s="7"/>
      <c r="H154" s="6">
        <f t="shared" si="15"/>
        <v>0.16666666666666666</v>
      </c>
    </row>
    <row r="155" spans="1:8" ht="12" customHeight="1">
      <c r="A155" s="82"/>
      <c r="B155" s="4" t="s">
        <v>3</v>
      </c>
      <c r="C155" s="5" t="s">
        <v>130</v>
      </c>
      <c r="D155" s="67" t="s">
        <v>126</v>
      </c>
      <c r="E155" s="7">
        <f t="shared" si="14"/>
        <v>0.15686277627360415</v>
      </c>
      <c r="F155" s="7">
        <f t="shared" si="13"/>
        <v>0.16666666666666666</v>
      </c>
      <c r="G155" s="7"/>
      <c r="H155" s="6">
        <f t="shared" si="15"/>
        <v>0.16666666666666666</v>
      </c>
    </row>
    <row r="156" spans="1:8" ht="12" customHeight="1">
      <c r="A156" s="82"/>
      <c r="B156" s="4" t="s">
        <v>4</v>
      </c>
      <c r="C156" s="5" t="s">
        <v>130</v>
      </c>
      <c r="D156" s="67" t="s">
        <v>126</v>
      </c>
      <c r="E156" s="7">
        <f t="shared" si="14"/>
        <v>0.1266074223009326</v>
      </c>
      <c r="F156" s="7">
        <f t="shared" si="13"/>
        <v>0.16666666666666669</v>
      </c>
      <c r="G156" s="7"/>
      <c r="H156" s="6">
        <f t="shared" si="15"/>
        <v>0.1666666666666666</v>
      </c>
    </row>
    <row r="157" spans="1:8" ht="12" customHeight="1">
      <c r="A157" s="82"/>
      <c r="B157" s="4" t="s">
        <v>5</v>
      </c>
      <c r="C157" s="5" t="s">
        <v>130</v>
      </c>
      <c r="D157" s="67" t="s">
        <v>126</v>
      </c>
      <c r="E157" s="7">
        <f t="shared" si="14"/>
        <v>0.08333347411070362</v>
      </c>
      <c r="F157" s="7">
        <f t="shared" si="13"/>
        <v>0.16666666666666666</v>
      </c>
      <c r="G157" s="7"/>
      <c r="H157" s="6">
        <f t="shared" si="15"/>
        <v>0.16666666666666663</v>
      </c>
    </row>
    <row r="158" spans="1:8" ht="12" customHeight="1">
      <c r="A158" s="82"/>
      <c r="B158" s="4" t="s">
        <v>6</v>
      </c>
      <c r="C158" s="5" t="s">
        <v>130</v>
      </c>
      <c r="D158" s="67" t="s">
        <v>126</v>
      </c>
      <c r="E158" s="7">
        <f t="shared" si="14"/>
        <v>0.04842993068566194</v>
      </c>
      <c r="F158" s="7">
        <f t="shared" si="13"/>
        <v>0.16666666666666663</v>
      </c>
      <c r="G158" s="7"/>
      <c r="H158" s="6">
        <f t="shared" si="15"/>
        <v>0.16666666666666663</v>
      </c>
    </row>
    <row r="159" spans="1:8" ht="12" customHeight="1">
      <c r="A159" s="82"/>
      <c r="B159" s="4" t="s">
        <v>7</v>
      </c>
      <c r="C159" s="5" t="s">
        <v>130</v>
      </c>
      <c r="D159" s="67" t="s">
        <v>126</v>
      </c>
      <c r="E159" s="7">
        <f t="shared" si="14"/>
        <v>0.01605826004273394</v>
      </c>
      <c r="F159" s="7">
        <f t="shared" si="13"/>
        <v>0.16666666666666666</v>
      </c>
      <c r="G159" s="7"/>
      <c r="H159" s="6">
        <f t="shared" si="15"/>
        <v>0.16666666666666666</v>
      </c>
    </row>
    <row r="160" spans="1:8" ht="12" customHeight="1">
      <c r="A160" s="82"/>
      <c r="B160" s="4" t="s">
        <v>8</v>
      </c>
      <c r="C160" s="5" t="s">
        <v>130</v>
      </c>
      <c r="D160" s="67" t="s">
        <v>126</v>
      </c>
      <c r="E160" s="7">
        <f t="shared" si="14"/>
        <v>0.004160180111606968</v>
      </c>
      <c r="F160" s="7">
        <f t="shared" si="13"/>
        <v>0.16666666666666669</v>
      </c>
      <c r="G160" s="7"/>
      <c r="H160" s="6">
        <f t="shared" si="15"/>
        <v>0.16666666666666666</v>
      </c>
    </row>
    <row r="161" spans="1:8" ht="12" customHeight="1">
      <c r="A161" s="82"/>
      <c r="B161" s="4" t="s">
        <v>9</v>
      </c>
      <c r="C161" s="5" t="s">
        <v>130</v>
      </c>
      <c r="D161" s="67" t="s">
        <v>126</v>
      </c>
      <c r="E161" s="7">
        <f t="shared" si="14"/>
        <v>0.0008385607613379182</v>
      </c>
      <c r="F161" s="7">
        <f t="shared" si="13"/>
        <v>0.16666666666666666</v>
      </c>
      <c r="G161" s="7"/>
      <c r="H161" s="6">
        <f t="shared" si="15"/>
        <v>0.16666666666666666</v>
      </c>
    </row>
    <row r="162" spans="1:8" ht="12" customHeight="1">
      <c r="A162" s="83"/>
      <c r="B162" s="4" t="s">
        <v>10</v>
      </c>
      <c r="C162" s="5" t="s">
        <v>130</v>
      </c>
      <c r="D162" s="67" t="s">
        <v>126</v>
      </c>
      <c r="E162" s="7">
        <f t="shared" si="14"/>
        <v>0.0002662415796766112</v>
      </c>
      <c r="F162" s="7">
        <f t="shared" si="13"/>
        <v>0.16666666666666666</v>
      </c>
      <c r="G162" s="7"/>
      <c r="H162" s="6">
        <f t="shared" si="15"/>
        <v>0.16666666666666669</v>
      </c>
    </row>
    <row r="163" spans="1:13" ht="12" customHeight="1">
      <c r="A163" s="81" t="s">
        <v>121</v>
      </c>
      <c r="B163" s="4">
        <v>20</v>
      </c>
      <c r="C163" s="5" t="s">
        <v>130</v>
      </c>
      <c r="D163" s="67" t="s">
        <v>126</v>
      </c>
      <c r="E163" s="7">
        <f>(-E97*(1+F163*E119)^2-F141^2*E97*E119^2+E119*(1+F163*E119))/(F141^2*E97^2*E119^2+(E97*(1+F163*E119)-E119)^2)</f>
        <v>-0.0005892698842514876</v>
      </c>
      <c r="F163" s="3">
        <f aca="true" t="shared" si="16" ref="F163:F184">(-1)*G97/(E$28^2+G97^2)+G119/(E$28^2+G119^2)</f>
        <v>0</v>
      </c>
      <c r="G163" s="7"/>
      <c r="H163" s="3">
        <f>-(F97^2*F119-G$28^2*(F97-F119))/(F97^2*F119^2+G$28^2*(F97-F119)^2)+E163</f>
        <v>-0.0011785397685029745</v>
      </c>
      <c r="J163" s="11"/>
      <c r="K163" s="11"/>
      <c r="L163" s="11"/>
      <c r="M163" s="11"/>
    </row>
    <row r="164" spans="1:10" ht="12" customHeight="1">
      <c r="A164" s="82"/>
      <c r="B164" s="4">
        <v>30</v>
      </c>
      <c r="C164" s="5" t="s">
        <v>130</v>
      </c>
      <c r="D164" s="67" t="s">
        <v>126</v>
      </c>
      <c r="E164" s="7">
        <f aca="true" t="shared" si="17" ref="E164:E184">(-E98*(1+F164*E120)^2-F142^2*E98*E120^2+E120*(1+F164*E120))/(F142^2*E98^2*E120^2+(E98*(1+F164*E120)-E120)^2)</f>
        <v>-0.0008839324454215091</v>
      </c>
      <c r="F164" s="3">
        <f t="shared" si="16"/>
        <v>0</v>
      </c>
      <c r="G164" s="7"/>
      <c r="H164" s="3">
        <f>(F98^2*F120-G$28^2*(F98-F120))/(F98^2*F120^2+G$28^2*(F98-F120)^2)+E164</f>
        <v>0</v>
      </c>
      <c r="J164" s="11"/>
    </row>
    <row r="165" spans="1:10" ht="12" customHeight="1">
      <c r="A165" s="82"/>
      <c r="B165" s="4">
        <v>40</v>
      </c>
      <c r="C165" s="5" t="s">
        <v>130</v>
      </c>
      <c r="D165" s="67" t="s">
        <v>126</v>
      </c>
      <c r="E165" s="7">
        <f t="shared" si="17"/>
        <v>-0.0011786281455769916</v>
      </c>
      <c r="F165" s="3">
        <f t="shared" si="16"/>
        <v>0</v>
      </c>
      <c r="G165" s="7"/>
      <c r="H165" s="3">
        <f aca="true" t="shared" si="18" ref="H165:H184">(F99^2*F121-G$28^2*(F99-F121))/(F99^2*F121^2+G$28^2*(F99-F121)^2)+E165</f>
        <v>0</v>
      </c>
      <c r="J165" s="11"/>
    </row>
    <row r="166" spans="1:10" ht="12" customHeight="1">
      <c r="A166" s="82"/>
      <c r="B166" s="4">
        <v>50</v>
      </c>
      <c r="C166" s="5" t="s">
        <v>130</v>
      </c>
      <c r="D166" s="67" t="s">
        <v>126</v>
      </c>
      <c r="E166" s="7">
        <f t="shared" si="17"/>
        <v>-0.001473368024599208</v>
      </c>
      <c r="F166" s="3">
        <f t="shared" si="16"/>
        <v>0</v>
      </c>
      <c r="G166" s="7"/>
      <c r="H166" s="3">
        <f t="shared" si="18"/>
        <v>-1.734723475976807E-18</v>
      </c>
      <c r="J166" s="11"/>
    </row>
    <row r="167" spans="1:10" ht="12" customHeight="1">
      <c r="A167" s="82"/>
      <c r="B167" s="4">
        <v>70</v>
      </c>
      <c r="C167" s="5" t="s">
        <v>130</v>
      </c>
      <c r="D167" s="67" t="s">
        <v>126</v>
      </c>
      <c r="E167" s="7">
        <f t="shared" si="17"/>
        <v>-0.0020630244497423598</v>
      </c>
      <c r="F167" s="3">
        <f t="shared" si="16"/>
        <v>0</v>
      </c>
      <c r="G167" s="7"/>
      <c r="H167" s="3">
        <f t="shared" si="18"/>
        <v>0</v>
      </c>
      <c r="J167" s="11"/>
    </row>
    <row r="168" spans="1:10" ht="12" customHeight="1">
      <c r="A168" s="82"/>
      <c r="B168" s="4">
        <v>100</v>
      </c>
      <c r="C168" s="5" t="s">
        <v>130</v>
      </c>
      <c r="D168" s="67" t="s">
        <v>126</v>
      </c>
      <c r="E168" s="7">
        <f t="shared" si="17"/>
        <v>-0.0029481160339684285</v>
      </c>
      <c r="F168" s="3">
        <f t="shared" si="16"/>
        <v>0</v>
      </c>
      <c r="G168" s="7"/>
      <c r="H168" s="3">
        <f t="shared" si="18"/>
        <v>0</v>
      </c>
      <c r="J168" s="11"/>
    </row>
    <row r="169" spans="1:10" ht="12" customHeight="1">
      <c r="A169" s="82"/>
      <c r="B169" s="4">
        <v>150</v>
      </c>
      <c r="C169" s="5" t="s">
        <v>130</v>
      </c>
      <c r="D169" s="67" t="s">
        <v>126</v>
      </c>
      <c r="E169" s="7">
        <f t="shared" si="17"/>
        <v>-0.004425619687633288</v>
      </c>
      <c r="F169" s="3">
        <f t="shared" si="16"/>
        <v>0</v>
      </c>
      <c r="G169" s="7"/>
      <c r="H169" s="3">
        <f t="shared" si="18"/>
        <v>0</v>
      </c>
      <c r="J169" s="11"/>
    </row>
    <row r="170" spans="1:10" ht="12" customHeight="1">
      <c r="A170" s="82"/>
      <c r="B170" s="4">
        <v>200</v>
      </c>
      <c r="C170" s="5" t="s">
        <v>130</v>
      </c>
      <c r="D170" s="67" t="s">
        <v>126</v>
      </c>
      <c r="E170" s="7">
        <f t="shared" si="17"/>
        <v>-0.00590724596644132</v>
      </c>
      <c r="F170" s="3">
        <f t="shared" si="16"/>
        <v>0</v>
      </c>
      <c r="G170" s="7"/>
      <c r="H170" s="3">
        <f t="shared" si="18"/>
        <v>0</v>
      </c>
      <c r="J170" s="11"/>
    </row>
    <row r="171" spans="1:10" ht="12" customHeight="1">
      <c r="A171" s="82"/>
      <c r="B171" s="4">
        <v>300</v>
      </c>
      <c r="C171" s="5" t="s">
        <v>130</v>
      </c>
      <c r="D171" s="67" t="s">
        <v>126</v>
      </c>
      <c r="E171" s="7">
        <f t="shared" si="17"/>
        <v>-0.008888264389263411</v>
      </c>
      <c r="F171" s="3">
        <f t="shared" si="16"/>
        <v>0</v>
      </c>
      <c r="G171" s="7"/>
      <c r="H171" s="3">
        <f t="shared" si="18"/>
        <v>0</v>
      </c>
      <c r="J171" s="11"/>
    </row>
    <row r="172" spans="1:10" ht="12" customHeight="1">
      <c r="A172" s="82"/>
      <c r="B172" s="4">
        <v>400</v>
      </c>
      <c r="C172" s="5" t="s">
        <v>130</v>
      </c>
      <c r="D172" s="67" t="s">
        <v>126</v>
      </c>
      <c r="E172" s="7">
        <f t="shared" si="17"/>
        <v>-0.011901763724529654</v>
      </c>
      <c r="F172" s="3">
        <f t="shared" si="16"/>
        <v>0</v>
      </c>
      <c r="G172" s="7"/>
      <c r="H172" s="3">
        <f t="shared" si="18"/>
        <v>0</v>
      </c>
      <c r="J172" s="11"/>
    </row>
    <row r="173" spans="1:10" ht="12" customHeight="1">
      <c r="A173" s="82"/>
      <c r="B173" s="4">
        <v>500</v>
      </c>
      <c r="C173" s="5" t="s">
        <v>130</v>
      </c>
      <c r="D173" s="67" t="s">
        <v>126</v>
      </c>
      <c r="E173" s="7">
        <f t="shared" si="17"/>
        <v>-0.014957904417249908</v>
      </c>
      <c r="F173" s="3">
        <f t="shared" si="16"/>
        <v>0</v>
      </c>
      <c r="G173" s="7"/>
      <c r="H173" s="3">
        <f t="shared" si="18"/>
        <v>0</v>
      </c>
      <c r="J173" s="11"/>
    </row>
    <row r="174" spans="1:10" ht="12" customHeight="1">
      <c r="A174" s="82"/>
      <c r="B174" s="4">
        <v>700</v>
      </c>
      <c r="C174" s="5" t="s">
        <v>130</v>
      </c>
      <c r="D174" s="67" t="s">
        <v>126</v>
      </c>
      <c r="E174" s="7">
        <f t="shared" si="17"/>
        <v>-0.021235620542587364</v>
      </c>
      <c r="F174" s="3">
        <f t="shared" si="16"/>
        <v>0</v>
      </c>
      <c r="G174" s="7"/>
      <c r="H174" s="3">
        <f t="shared" si="18"/>
        <v>0</v>
      </c>
      <c r="J174" s="11"/>
    </row>
    <row r="175" spans="1:10" ht="12" customHeight="1">
      <c r="A175" s="82"/>
      <c r="B175" s="4" t="s">
        <v>1</v>
      </c>
      <c r="C175" s="5" t="s">
        <v>130</v>
      </c>
      <c r="D175" s="67" t="s">
        <v>126</v>
      </c>
      <c r="E175" s="7">
        <f t="shared" si="17"/>
        <v>-0.031182371180599147</v>
      </c>
      <c r="F175" s="3">
        <f t="shared" si="16"/>
        <v>0</v>
      </c>
      <c r="G175" s="7"/>
      <c r="H175" s="3">
        <f t="shared" si="18"/>
        <v>0</v>
      </c>
      <c r="J175" s="11"/>
    </row>
    <row r="176" spans="1:10" ht="12" customHeight="1">
      <c r="A176" s="82"/>
      <c r="B176" s="4" t="s">
        <v>2</v>
      </c>
      <c r="C176" s="5" t="s">
        <v>130</v>
      </c>
      <c r="D176" s="67" t="s">
        <v>126</v>
      </c>
      <c r="E176" s="7">
        <f t="shared" si="17"/>
        <v>-0.04943140441203464</v>
      </c>
      <c r="F176" s="3">
        <f t="shared" si="16"/>
        <v>0</v>
      </c>
      <c r="G176" s="7"/>
      <c r="H176" s="3">
        <f t="shared" si="18"/>
        <v>0</v>
      </c>
      <c r="J176" s="11"/>
    </row>
    <row r="177" spans="1:10" ht="12" customHeight="1">
      <c r="A177" s="82"/>
      <c r="B177" s="4" t="s">
        <v>3</v>
      </c>
      <c r="C177" s="5" t="s">
        <v>130</v>
      </c>
      <c r="D177" s="67" t="s">
        <v>126</v>
      </c>
      <c r="E177" s="7">
        <f t="shared" si="17"/>
        <v>-0.06932412603387343</v>
      </c>
      <c r="F177" s="3">
        <f t="shared" si="16"/>
        <v>0</v>
      </c>
      <c r="G177" s="7"/>
      <c r="H177" s="3">
        <f t="shared" si="18"/>
        <v>0</v>
      </c>
      <c r="J177" s="11"/>
    </row>
    <row r="178" spans="1:10" ht="12" customHeight="1">
      <c r="A178" s="82"/>
      <c r="B178" s="4" t="s">
        <v>4</v>
      </c>
      <c r="C178" s="5" t="s">
        <v>130</v>
      </c>
      <c r="D178" s="67" t="s">
        <v>126</v>
      </c>
      <c r="E178" s="7">
        <f t="shared" si="17"/>
        <v>-0.10491191811771054</v>
      </c>
      <c r="F178" s="3">
        <f t="shared" si="16"/>
        <v>0</v>
      </c>
      <c r="G178" s="7"/>
      <c r="H178" s="3">
        <f t="shared" si="18"/>
        <v>0</v>
      </c>
      <c r="J178" s="11"/>
    </row>
    <row r="179" spans="1:10" ht="12" customHeight="1">
      <c r="A179" s="82"/>
      <c r="B179" s="4" t="s">
        <v>5</v>
      </c>
      <c r="C179" s="5" t="s">
        <v>130</v>
      </c>
      <c r="D179" s="67" t="s">
        <v>126</v>
      </c>
      <c r="E179" s="7">
        <f t="shared" si="17"/>
        <v>-0.11785113019763176</v>
      </c>
      <c r="F179" s="3">
        <f t="shared" si="16"/>
        <v>0</v>
      </c>
      <c r="G179" s="7"/>
      <c r="H179" s="3">
        <f t="shared" si="18"/>
        <v>0</v>
      </c>
      <c r="J179" s="11"/>
    </row>
    <row r="180" spans="1:10" ht="12" customHeight="1">
      <c r="A180" s="82"/>
      <c r="B180" s="4" t="s">
        <v>6</v>
      </c>
      <c r="C180" s="5" t="s">
        <v>130</v>
      </c>
      <c r="D180" s="67" t="s">
        <v>126</v>
      </c>
      <c r="E180" s="7">
        <f t="shared" si="17"/>
        <v>-0.10969123407649556</v>
      </c>
      <c r="F180" s="3">
        <f t="shared" si="16"/>
        <v>0</v>
      </c>
      <c r="G180" s="7"/>
      <c r="H180" s="3">
        <f t="shared" si="18"/>
        <v>0</v>
      </c>
      <c r="J180" s="11"/>
    </row>
    <row r="181" spans="1:10" ht="12" customHeight="1">
      <c r="A181" s="82"/>
      <c r="B181" s="4" t="s">
        <v>7</v>
      </c>
      <c r="C181" s="5" t="s">
        <v>130</v>
      </c>
      <c r="D181" s="67" t="s">
        <v>126</v>
      </c>
      <c r="E181" s="7">
        <f t="shared" si="17"/>
        <v>-0.080726103688493</v>
      </c>
      <c r="F181" s="3">
        <f t="shared" si="16"/>
        <v>0</v>
      </c>
      <c r="G181" s="7"/>
      <c r="H181" s="3">
        <f t="shared" si="18"/>
        <v>0</v>
      </c>
      <c r="J181" s="11"/>
    </row>
    <row r="182" spans="1:10" ht="12" customHeight="1">
      <c r="A182" s="82"/>
      <c r="B182" s="4" t="s">
        <v>8</v>
      </c>
      <c r="C182" s="5" t="s">
        <v>130</v>
      </c>
      <c r="D182" s="67" t="s">
        <v>126</v>
      </c>
      <c r="E182" s="7">
        <f t="shared" si="17"/>
        <v>-0.05331803698376161</v>
      </c>
      <c r="F182" s="3">
        <f t="shared" si="16"/>
        <v>0</v>
      </c>
      <c r="G182" s="7"/>
      <c r="H182" s="3">
        <f t="shared" si="18"/>
        <v>0</v>
      </c>
      <c r="J182" s="11"/>
    </row>
    <row r="183" spans="1:10" ht="12" customHeight="1">
      <c r="A183" s="82"/>
      <c r="B183" s="4" t="s">
        <v>9</v>
      </c>
      <c r="C183" s="5" t="s">
        <v>130</v>
      </c>
      <c r="D183" s="67" t="s">
        <v>126</v>
      </c>
      <c r="E183" s="7">
        <f t="shared" si="17"/>
        <v>-0.033492442055634286</v>
      </c>
      <c r="F183" s="3">
        <f t="shared" si="16"/>
        <v>0</v>
      </c>
      <c r="G183" s="7"/>
      <c r="H183" s="3">
        <f t="shared" si="18"/>
        <v>0</v>
      </c>
      <c r="J183" s="11"/>
    </row>
    <row r="184" spans="1:10" ht="12" customHeight="1">
      <c r="A184" s="83"/>
      <c r="B184" s="4" t="s">
        <v>10</v>
      </c>
      <c r="C184" s="5" t="s">
        <v>130</v>
      </c>
      <c r="D184" s="67" t="s">
        <v>126</v>
      </c>
      <c r="E184" s="7">
        <f t="shared" si="17"/>
        <v>-0.02447389900842695</v>
      </c>
      <c r="F184" s="3">
        <f t="shared" si="16"/>
        <v>0</v>
      </c>
      <c r="G184" s="7"/>
      <c r="H184" s="3">
        <f t="shared" si="18"/>
        <v>0</v>
      </c>
      <c r="J184" s="11"/>
    </row>
    <row r="185" spans="1:8" ht="12" customHeight="1">
      <c r="A185" s="81" t="s">
        <v>122</v>
      </c>
      <c r="B185" s="4">
        <v>20</v>
      </c>
      <c r="C185" s="5" t="s">
        <v>130</v>
      </c>
      <c r="D185" s="2" t="s">
        <v>125</v>
      </c>
      <c r="E185" s="7">
        <f>IF($H$17=1,SpeakerCorrection1!E56,0)+IF($H$17=2,SpeakerCorrection2!E56,0)+IF($H$17=3,SpeakerCorrection3!E56,0)+IF($H$17=4,SpeakerCorrection4!E56,0)</f>
        <v>0</v>
      </c>
      <c r="F185" s="7">
        <f>IF($H$17=1,SpeakerCorrection1!F56,0)+IF($H$17=2,SpeakerCorrection2!F56,0)+IF($H$17=3,SpeakerCorrection3!F56,0)+IF($H$17=4,SpeakerCorrection4!F56,0)</f>
        <v>0</v>
      </c>
      <c r="G185" s="7">
        <f>IF($H$17=1,SpeakerCorrection1!G56,0)+IF($H$17=2,SpeakerCorrection2!G56,0)+IF($H$17=3,SpeakerCorrection3!G56,0)+IF($H$17=4,SpeakerCorrection4!G56,0)</f>
        <v>0</v>
      </c>
      <c r="H185" s="7">
        <f>IF($H$17=1,SpeakerCorrection1!H56,0)+IF($H$17=2,SpeakerCorrection2!H56,0)+IF($H$17=3,SpeakerCorrection3!H56,0)+IF($H$17=4,SpeakerCorrection4!H56,0)</f>
        <v>0</v>
      </c>
    </row>
    <row r="186" spans="1:8" ht="12" customHeight="1">
      <c r="A186" s="82"/>
      <c r="B186" s="4">
        <v>30</v>
      </c>
      <c r="C186" s="5" t="s">
        <v>130</v>
      </c>
      <c r="D186" s="2" t="s">
        <v>125</v>
      </c>
      <c r="E186" s="7">
        <f>IF($H$17=1,SpeakerCorrection1!E57,0)+IF($H$17=2,SpeakerCorrection2!E57,0)+IF($H$17=3,SpeakerCorrection3!E57,0)+IF($H$17=4,SpeakerCorrection4!E57,0)</f>
        <v>0</v>
      </c>
      <c r="F186" s="7">
        <f>IF($H$17=1,SpeakerCorrection1!F57,0)+IF($H$17=2,SpeakerCorrection2!F57,0)+IF($H$17=3,SpeakerCorrection3!F57,0)+IF($H$17=4,SpeakerCorrection4!F57,0)</f>
        <v>0</v>
      </c>
      <c r="G186" s="7">
        <f>IF($H$17=1,SpeakerCorrection1!G57,0)+IF($H$17=2,SpeakerCorrection2!G57,0)+IF($H$17=3,SpeakerCorrection3!G57,0)+IF($H$17=4,SpeakerCorrection4!G57,0)</f>
        <v>0</v>
      </c>
      <c r="H186" s="7">
        <f>IF($H$17=1,SpeakerCorrection1!H57,0)+IF($H$17=2,SpeakerCorrection2!H57,0)+IF($H$17=3,SpeakerCorrection3!H57,0)+IF($H$17=4,SpeakerCorrection4!H57,0)</f>
        <v>0</v>
      </c>
    </row>
    <row r="187" spans="1:8" ht="12" customHeight="1">
      <c r="A187" s="82"/>
      <c r="B187" s="4">
        <v>40</v>
      </c>
      <c r="C187" s="5" t="s">
        <v>130</v>
      </c>
      <c r="D187" s="2" t="s">
        <v>125</v>
      </c>
      <c r="E187" s="7">
        <f>IF($H$17=1,SpeakerCorrection1!E58,0)+IF($H$17=2,SpeakerCorrection2!E58,0)+IF($H$17=3,SpeakerCorrection3!E58,0)+IF($H$17=4,SpeakerCorrection4!E58,0)</f>
        <v>0</v>
      </c>
      <c r="F187" s="7">
        <f>IF($H$17=1,SpeakerCorrection1!F58,0)+IF($H$17=2,SpeakerCorrection2!F58,0)+IF($H$17=3,SpeakerCorrection3!F58,0)+IF($H$17=4,SpeakerCorrection4!F58,0)</f>
        <v>0</v>
      </c>
      <c r="G187" s="7">
        <f>IF($H$17=1,SpeakerCorrection1!G58,0)+IF($H$17=2,SpeakerCorrection2!G58,0)+IF($H$17=3,SpeakerCorrection3!G58,0)+IF($H$17=4,SpeakerCorrection4!G58,0)</f>
        <v>0</v>
      </c>
      <c r="H187" s="7">
        <f>IF($H$17=1,SpeakerCorrection1!H58,0)+IF($H$17=2,SpeakerCorrection2!H58,0)+IF($H$17=3,SpeakerCorrection3!H58,0)+IF($H$17=4,SpeakerCorrection4!H58,0)</f>
        <v>0</v>
      </c>
    </row>
    <row r="188" spans="1:8" ht="12" customHeight="1">
      <c r="A188" s="82"/>
      <c r="B188" s="4">
        <v>50</v>
      </c>
      <c r="C188" s="5" t="s">
        <v>130</v>
      </c>
      <c r="D188" s="2" t="s">
        <v>125</v>
      </c>
      <c r="E188" s="7">
        <f>IF($H$17=1,SpeakerCorrection1!E59,0)+IF($H$17=2,SpeakerCorrection2!E59,0)+IF($H$17=3,SpeakerCorrection3!E59,0)+IF($H$17=4,SpeakerCorrection4!E59,0)</f>
        <v>0</v>
      </c>
      <c r="F188" s="7">
        <f>IF($H$17=1,SpeakerCorrection1!F59,0)+IF($H$17=2,SpeakerCorrection2!F59,0)+IF($H$17=3,SpeakerCorrection3!F59,0)+IF($H$17=4,SpeakerCorrection4!F59,0)</f>
        <v>0</v>
      </c>
      <c r="G188" s="7">
        <f>IF($H$17=1,SpeakerCorrection1!G59,0)+IF($H$17=2,SpeakerCorrection2!G59,0)+IF($H$17=3,SpeakerCorrection3!G59,0)+IF($H$17=4,SpeakerCorrection4!G59,0)</f>
        <v>0</v>
      </c>
      <c r="H188" s="7">
        <f>IF($H$17=1,SpeakerCorrection1!H59,0)+IF($H$17=2,SpeakerCorrection2!H59,0)+IF($H$17=3,SpeakerCorrection3!H59,0)+IF($H$17=4,SpeakerCorrection4!H59,0)</f>
        <v>0</v>
      </c>
    </row>
    <row r="189" spans="1:8" ht="12" customHeight="1">
      <c r="A189" s="82"/>
      <c r="B189" s="4">
        <v>70</v>
      </c>
      <c r="C189" s="5" t="s">
        <v>130</v>
      </c>
      <c r="D189" s="2" t="s">
        <v>125</v>
      </c>
      <c r="E189" s="7">
        <f>IF($H$17=1,SpeakerCorrection1!E60,0)+IF($H$17=2,SpeakerCorrection2!E60,0)+IF($H$17=3,SpeakerCorrection3!E60,0)+IF($H$17=4,SpeakerCorrection4!E60,0)</f>
        <v>0</v>
      </c>
      <c r="F189" s="7">
        <f>IF($H$17=1,SpeakerCorrection1!F60,0)+IF($H$17=2,SpeakerCorrection2!F60,0)+IF($H$17=3,SpeakerCorrection3!F60,0)+IF($H$17=4,SpeakerCorrection4!F60,0)</f>
        <v>0</v>
      </c>
      <c r="G189" s="7">
        <f>IF($H$17=1,SpeakerCorrection1!G60,0)+IF($H$17=2,SpeakerCorrection2!G60,0)+IF($H$17=3,SpeakerCorrection3!G60,0)+IF($H$17=4,SpeakerCorrection4!G60,0)</f>
        <v>0</v>
      </c>
      <c r="H189" s="7">
        <f>IF($H$17=1,SpeakerCorrection1!H60,0)+IF($H$17=2,SpeakerCorrection2!H60,0)+IF($H$17=3,SpeakerCorrection3!H60,0)+IF($H$17=4,SpeakerCorrection4!H60,0)</f>
        <v>0</v>
      </c>
    </row>
    <row r="190" spans="1:8" ht="12" customHeight="1">
      <c r="A190" s="82"/>
      <c r="B190" s="4">
        <v>100</v>
      </c>
      <c r="C190" s="5" t="s">
        <v>130</v>
      </c>
      <c r="D190" s="2" t="s">
        <v>125</v>
      </c>
      <c r="E190" s="7">
        <f>IF($H$17=1,SpeakerCorrection1!E61,0)+IF($H$17=2,SpeakerCorrection2!E61,0)+IF($H$17=3,SpeakerCorrection3!E61,0)+IF($H$17=4,SpeakerCorrection4!E61,0)</f>
        <v>0</v>
      </c>
      <c r="F190" s="7">
        <f>IF($H$17=1,SpeakerCorrection1!F61,0)+IF($H$17=2,SpeakerCorrection2!F61,0)+IF($H$17=3,SpeakerCorrection3!F61,0)+IF($H$17=4,SpeakerCorrection4!F61,0)</f>
        <v>0</v>
      </c>
      <c r="G190" s="7">
        <f>IF($H$17=1,SpeakerCorrection1!G61,0)+IF($H$17=2,SpeakerCorrection2!G61,0)+IF($H$17=3,SpeakerCorrection3!G61,0)+IF($H$17=4,SpeakerCorrection4!G61,0)</f>
        <v>0</v>
      </c>
      <c r="H190" s="7">
        <f>IF($H$17=1,SpeakerCorrection1!H61,0)+IF($H$17=2,SpeakerCorrection2!H61,0)+IF($H$17=3,SpeakerCorrection3!H61,0)+IF($H$17=4,SpeakerCorrection4!H61,0)</f>
        <v>0</v>
      </c>
    </row>
    <row r="191" spans="1:8" ht="12" customHeight="1">
      <c r="A191" s="82"/>
      <c r="B191" s="4">
        <v>150</v>
      </c>
      <c r="C191" s="5" t="s">
        <v>130</v>
      </c>
      <c r="D191" s="2" t="s">
        <v>125</v>
      </c>
      <c r="E191" s="7">
        <f>IF($H$17=1,SpeakerCorrection1!E62,0)+IF($H$17=2,SpeakerCorrection2!E62,0)+IF($H$17=3,SpeakerCorrection3!E62,0)+IF($H$17=4,SpeakerCorrection4!E62,0)</f>
        <v>0</v>
      </c>
      <c r="F191" s="7">
        <f>IF($H$17=1,SpeakerCorrection1!F62,0)+IF($H$17=2,SpeakerCorrection2!F62,0)+IF($H$17=3,SpeakerCorrection3!F62,0)+IF($H$17=4,SpeakerCorrection4!F62,0)</f>
        <v>0</v>
      </c>
      <c r="G191" s="7">
        <f>IF($H$17=1,SpeakerCorrection1!G62,0)+IF($H$17=2,SpeakerCorrection2!G62,0)+IF($H$17=3,SpeakerCorrection3!G62,0)+IF($H$17=4,SpeakerCorrection4!G62,0)</f>
        <v>0</v>
      </c>
      <c r="H191" s="7">
        <f>IF($H$17=1,SpeakerCorrection1!H62,0)+IF($H$17=2,SpeakerCorrection2!H62,0)+IF($H$17=3,SpeakerCorrection3!H62,0)+IF($H$17=4,SpeakerCorrection4!H62,0)</f>
        <v>0</v>
      </c>
    </row>
    <row r="192" spans="1:8" ht="12" customHeight="1">
      <c r="A192" s="82"/>
      <c r="B192" s="4">
        <v>200</v>
      </c>
      <c r="C192" s="5" t="s">
        <v>130</v>
      </c>
      <c r="D192" s="2" t="s">
        <v>125</v>
      </c>
      <c r="E192" s="7">
        <f>IF($H$17=1,SpeakerCorrection1!E63,0)+IF($H$17=2,SpeakerCorrection2!E63,0)+IF($H$17=3,SpeakerCorrection3!E63,0)+IF($H$17=4,SpeakerCorrection4!E63,0)</f>
        <v>0</v>
      </c>
      <c r="F192" s="7">
        <f>IF($H$17=1,SpeakerCorrection1!F63,0)+IF($H$17=2,SpeakerCorrection2!F63,0)+IF($H$17=3,SpeakerCorrection3!F63,0)+IF($H$17=4,SpeakerCorrection4!F63,0)</f>
        <v>0</v>
      </c>
      <c r="G192" s="7">
        <f>IF($H$17=1,SpeakerCorrection1!G63,0)+IF($H$17=2,SpeakerCorrection2!G63,0)+IF($H$17=3,SpeakerCorrection3!G63,0)+IF($H$17=4,SpeakerCorrection4!G63,0)</f>
        <v>0</v>
      </c>
      <c r="H192" s="7">
        <f>IF($H$17=1,SpeakerCorrection1!H63,0)+IF($H$17=2,SpeakerCorrection2!H63,0)+IF($H$17=3,SpeakerCorrection3!H63,0)+IF($H$17=4,SpeakerCorrection4!H63,0)</f>
        <v>0</v>
      </c>
    </row>
    <row r="193" spans="1:8" ht="12" customHeight="1">
      <c r="A193" s="82"/>
      <c r="B193" s="4">
        <v>300</v>
      </c>
      <c r="C193" s="5" t="s">
        <v>130</v>
      </c>
      <c r="D193" s="2" t="s">
        <v>125</v>
      </c>
      <c r="E193" s="7">
        <f>IF($H$17=1,SpeakerCorrection1!E64,0)+IF($H$17=2,SpeakerCorrection2!E64,0)+IF($H$17=3,SpeakerCorrection3!E64,0)+IF($H$17=4,SpeakerCorrection4!E64,0)</f>
        <v>0</v>
      </c>
      <c r="F193" s="7">
        <f>IF($H$17=1,SpeakerCorrection1!F64,0)+IF($H$17=2,SpeakerCorrection2!F64,0)+IF($H$17=3,SpeakerCorrection3!F64,0)+IF($H$17=4,SpeakerCorrection4!F64,0)</f>
        <v>0</v>
      </c>
      <c r="G193" s="7">
        <f>IF($H$17=1,SpeakerCorrection1!G64,0)+IF($H$17=2,SpeakerCorrection2!G64,0)+IF($H$17=3,SpeakerCorrection3!G64,0)+IF($H$17=4,SpeakerCorrection4!G64,0)</f>
        <v>0</v>
      </c>
      <c r="H193" s="7">
        <f>IF($H$17=1,SpeakerCorrection1!H64,0)+IF($H$17=2,SpeakerCorrection2!H64,0)+IF($H$17=3,SpeakerCorrection3!H64,0)+IF($H$17=4,SpeakerCorrection4!H64,0)</f>
        <v>0</v>
      </c>
    </row>
    <row r="194" spans="1:8" ht="12" customHeight="1">
      <c r="A194" s="82"/>
      <c r="B194" s="4">
        <v>400</v>
      </c>
      <c r="C194" s="5" t="s">
        <v>130</v>
      </c>
      <c r="D194" s="2" t="s">
        <v>125</v>
      </c>
      <c r="E194" s="7">
        <f>IF($H$17=1,SpeakerCorrection1!E65,0)+IF($H$17=2,SpeakerCorrection2!E65,0)+IF($H$17=3,SpeakerCorrection3!E65,0)+IF($H$17=4,SpeakerCorrection4!E65,0)</f>
        <v>0</v>
      </c>
      <c r="F194" s="7">
        <f>IF($H$17=1,SpeakerCorrection1!F65,0)+IF($H$17=2,SpeakerCorrection2!F65,0)+IF($H$17=3,SpeakerCorrection3!F65,0)+IF($H$17=4,SpeakerCorrection4!F65,0)</f>
        <v>0</v>
      </c>
      <c r="G194" s="7">
        <f>IF($H$17=1,SpeakerCorrection1!G65,0)+IF($H$17=2,SpeakerCorrection2!G65,0)+IF($H$17=3,SpeakerCorrection3!G65,0)+IF($H$17=4,SpeakerCorrection4!G65,0)</f>
        <v>0</v>
      </c>
      <c r="H194" s="7">
        <f>IF($H$17=1,SpeakerCorrection1!H65,0)+IF($H$17=2,SpeakerCorrection2!H65,0)+IF($H$17=3,SpeakerCorrection3!H65,0)+IF($H$17=4,SpeakerCorrection4!H65,0)</f>
        <v>0</v>
      </c>
    </row>
    <row r="195" spans="1:8" ht="12" customHeight="1">
      <c r="A195" s="82"/>
      <c r="B195" s="4">
        <v>500</v>
      </c>
      <c r="C195" s="5" t="s">
        <v>130</v>
      </c>
      <c r="D195" s="2" t="s">
        <v>125</v>
      </c>
      <c r="E195" s="7">
        <f>IF($H$17=1,SpeakerCorrection1!E66,0)+IF($H$17=2,SpeakerCorrection2!E66,0)+IF($H$17=3,SpeakerCorrection3!E66,0)+IF($H$17=4,SpeakerCorrection4!E66,0)</f>
        <v>0</v>
      </c>
      <c r="F195" s="7">
        <f>IF($H$17=1,SpeakerCorrection1!F66,0)+IF($H$17=2,SpeakerCorrection2!F66,0)+IF($H$17=3,SpeakerCorrection3!F66,0)+IF($H$17=4,SpeakerCorrection4!F66,0)</f>
        <v>0</v>
      </c>
      <c r="G195" s="7">
        <f>IF($H$17=1,SpeakerCorrection1!G66,0)+IF($H$17=2,SpeakerCorrection2!G66,0)+IF($H$17=3,SpeakerCorrection3!G66,0)+IF($H$17=4,SpeakerCorrection4!G66,0)</f>
        <v>0</v>
      </c>
      <c r="H195" s="7">
        <f>IF($H$17=1,SpeakerCorrection1!H66,0)+IF($H$17=2,SpeakerCorrection2!H66,0)+IF($H$17=3,SpeakerCorrection3!H66,0)+IF($H$17=4,SpeakerCorrection4!H66,0)</f>
        <v>0</v>
      </c>
    </row>
    <row r="196" spans="1:8" ht="12" customHeight="1">
      <c r="A196" s="82"/>
      <c r="B196" s="4">
        <v>700</v>
      </c>
      <c r="C196" s="5" t="s">
        <v>130</v>
      </c>
      <c r="D196" s="2" t="s">
        <v>125</v>
      </c>
      <c r="E196" s="7">
        <f>IF($H$17=1,SpeakerCorrection1!E67,0)+IF($H$17=2,SpeakerCorrection2!E67,0)+IF($H$17=3,SpeakerCorrection3!E67,0)+IF($H$17=4,SpeakerCorrection4!E67,0)</f>
        <v>0</v>
      </c>
      <c r="F196" s="7">
        <f>IF($H$17=1,SpeakerCorrection1!F67,0)+IF($H$17=2,SpeakerCorrection2!F67,0)+IF($H$17=3,SpeakerCorrection3!F67,0)+IF($H$17=4,SpeakerCorrection4!F67,0)</f>
        <v>0</v>
      </c>
      <c r="G196" s="7">
        <f>IF($H$17=1,SpeakerCorrection1!G67,0)+IF($H$17=2,SpeakerCorrection2!G67,0)+IF($H$17=3,SpeakerCorrection3!G67,0)+IF($H$17=4,SpeakerCorrection4!G67,0)</f>
        <v>0</v>
      </c>
      <c r="H196" s="7">
        <f>IF($H$17=1,SpeakerCorrection1!H67,0)+IF($H$17=2,SpeakerCorrection2!H67,0)+IF($H$17=3,SpeakerCorrection3!H67,0)+IF($H$17=4,SpeakerCorrection4!H67,0)</f>
        <v>0</v>
      </c>
    </row>
    <row r="197" spans="1:8" ht="12" customHeight="1">
      <c r="A197" s="82"/>
      <c r="B197" s="4" t="s">
        <v>43</v>
      </c>
      <c r="C197" s="5" t="s">
        <v>130</v>
      </c>
      <c r="D197" s="2" t="s">
        <v>125</v>
      </c>
      <c r="E197" s="7">
        <f>IF($H$17=1,SpeakerCorrection1!E68,0)+IF($H$17=2,SpeakerCorrection2!E68,0)+IF($H$17=3,SpeakerCorrection3!E68,0)+IF($H$17=4,SpeakerCorrection4!E68,0)</f>
        <v>0</v>
      </c>
      <c r="F197" s="7">
        <f>IF($H$17=1,SpeakerCorrection1!F68,0)+IF($H$17=2,SpeakerCorrection2!F68,0)+IF($H$17=3,SpeakerCorrection3!F68,0)+IF($H$17=4,SpeakerCorrection4!F68,0)</f>
        <v>0</v>
      </c>
      <c r="G197" s="7">
        <f>IF($H$17=1,SpeakerCorrection1!G68,0)+IF($H$17=2,SpeakerCorrection2!G68,0)+IF($H$17=3,SpeakerCorrection3!G68,0)+IF($H$17=4,SpeakerCorrection4!G68,0)</f>
        <v>0</v>
      </c>
      <c r="H197" s="7">
        <f>IF($H$17=1,SpeakerCorrection1!H68,0)+IF($H$17=2,SpeakerCorrection2!H68,0)+IF($H$17=3,SpeakerCorrection3!H68,0)+IF($H$17=4,SpeakerCorrection4!H68,0)</f>
        <v>0</v>
      </c>
    </row>
    <row r="198" spans="1:8" ht="12" customHeight="1">
      <c r="A198" s="82"/>
      <c r="B198" s="4" t="s">
        <v>44</v>
      </c>
      <c r="C198" s="5" t="s">
        <v>130</v>
      </c>
      <c r="D198" s="2" t="s">
        <v>125</v>
      </c>
      <c r="E198" s="7">
        <f>IF($H$17=1,SpeakerCorrection1!E69,0)+IF($H$17=2,SpeakerCorrection2!E69,0)+IF($H$17=3,SpeakerCorrection3!E69,0)+IF($H$17=4,SpeakerCorrection4!E69,0)</f>
        <v>0</v>
      </c>
      <c r="F198" s="7">
        <f>IF($H$17=1,SpeakerCorrection1!F69,0)+IF($H$17=2,SpeakerCorrection2!F69,0)+IF($H$17=3,SpeakerCorrection3!F69,0)+IF($H$17=4,SpeakerCorrection4!F69,0)</f>
        <v>0</v>
      </c>
      <c r="G198" s="7">
        <f>IF($H$17=1,SpeakerCorrection1!G69,0)+IF($H$17=2,SpeakerCorrection2!G69,0)+IF($H$17=3,SpeakerCorrection3!G69,0)+IF($H$17=4,SpeakerCorrection4!G69,0)</f>
        <v>0</v>
      </c>
      <c r="H198" s="7">
        <f>IF($H$17=1,SpeakerCorrection1!H69,0)+IF($H$17=2,SpeakerCorrection2!H69,0)+IF($H$17=3,SpeakerCorrection3!H69,0)+IF($H$17=4,SpeakerCorrection4!H69,0)</f>
        <v>0</v>
      </c>
    </row>
    <row r="199" spans="1:8" ht="12" customHeight="1">
      <c r="A199" s="82"/>
      <c r="B199" s="4" t="s">
        <v>45</v>
      </c>
      <c r="C199" s="5" t="s">
        <v>130</v>
      </c>
      <c r="D199" s="2" t="s">
        <v>125</v>
      </c>
      <c r="E199" s="7">
        <f>IF($H$17=1,SpeakerCorrection1!E70,0)+IF($H$17=2,SpeakerCorrection2!E70,0)+IF($H$17=3,SpeakerCorrection3!E70,0)+IF($H$17=4,SpeakerCorrection4!E70,0)</f>
        <v>0</v>
      </c>
      <c r="F199" s="7">
        <f>IF($H$17=1,SpeakerCorrection1!F70,0)+IF($H$17=2,SpeakerCorrection2!F70,0)+IF($H$17=3,SpeakerCorrection3!F70,0)+IF($H$17=4,SpeakerCorrection4!F70,0)</f>
        <v>0</v>
      </c>
      <c r="G199" s="7">
        <f>IF($H$17=1,SpeakerCorrection1!G70,0)+IF($H$17=2,SpeakerCorrection2!G70,0)+IF($H$17=3,SpeakerCorrection3!G70,0)+IF($H$17=4,SpeakerCorrection4!G70,0)</f>
        <v>0</v>
      </c>
      <c r="H199" s="7">
        <f>IF($H$17=1,SpeakerCorrection1!H70,0)+IF($H$17=2,SpeakerCorrection2!H70,0)+IF($H$17=3,SpeakerCorrection3!H70,0)+IF($H$17=4,SpeakerCorrection4!H70,0)</f>
        <v>0</v>
      </c>
    </row>
    <row r="200" spans="1:8" ht="12" customHeight="1">
      <c r="A200" s="82"/>
      <c r="B200" s="4" t="s">
        <v>46</v>
      </c>
      <c r="C200" s="5" t="s">
        <v>130</v>
      </c>
      <c r="D200" s="2" t="s">
        <v>125</v>
      </c>
      <c r="E200" s="7">
        <f>IF($H$17=1,SpeakerCorrection1!E71,0)+IF($H$17=2,SpeakerCorrection2!E71,0)+IF($H$17=3,SpeakerCorrection3!E71,0)+IF($H$17=4,SpeakerCorrection4!E71,0)</f>
        <v>0</v>
      </c>
      <c r="F200" s="7">
        <f>IF($H$17=1,SpeakerCorrection1!F71,0)+IF($H$17=2,SpeakerCorrection2!F71,0)+IF($H$17=3,SpeakerCorrection3!F71,0)+IF($H$17=4,SpeakerCorrection4!F71,0)</f>
        <v>0</v>
      </c>
      <c r="G200" s="7">
        <f>IF($H$17=1,SpeakerCorrection1!G71,0)+IF($H$17=2,SpeakerCorrection2!G71,0)+IF($H$17=3,SpeakerCorrection3!G71,0)+IF($H$17=4,SpeakerCorrection4!G71,0)</f>
        <v>0</v>
      </c>
      <c r="H200" s="7">
        <f>IF($H$17=1,SpeakerCorrection1!H71,0)+IF($H$17=2,SpeakerCorrection2!H71,0)+IF($H$17=3,SpeakerCorrection3!H71,0)+IF($H$17=4,SpeakerCorrection4!H71,0)</f>
        <v>0</v>
      </c>
    </row>
    <row r="201" spans="1:8" ht="12" customHeight="1">
      <c r="A201" s="82"/>
      <c r="B201" s="4" t="s">
        <v>47</v>
      </c>
      <c r="C201" s="5" t="s">
        <v>130</v>
      </c>
      <c r="D201" s="2" t="s">
        <v>125</v>
      </c>
      <c r="E201" s="7">
        <f>IF($H$17=1,SpeakerCorrection1!E72,0)+IF($H$17=2,SpeakerCorrection2!E72,0)+IF($H$17=3,SpeakerCorrection3!E72,0)+IF($H$17=4,SpeakerCorrection4!E72,0)</f>
        <v>0</v>
      </c>
      <c r="F201" s="7">
        <f>IF($H$17=1,SpeakerCorrection1!F72,0)+IF($H$17=2,SpeakerCorrection2!F72,0)+IF($H$17=3,SpeakerCorrection3!F72,0)+IF($H$17=4,SpeakerCorrection4!F72,0)</f>
        <v>0</v>
      </c>
      <c r="G201" s="7">
        <f>IF($H$17=1,SpeakerCorrection1!G72,0)+IF($H$17=2,SpeakerCorrection2!G72,0)+IF($H$17=3,SpeakerCorrection3!G72,0)+IF($H$17=4,SpeakerCorrection4!G72,0)</f>
        <v>0</v>
      </c>
      <c r="H201" s="7">
        <f>IF($H$17=1,SpeakerCorrection1!H72,0)+IF($H$17=2,SpeakerCorrection2!H72,0)+IF($H$17=3,SpeakerCorrection3!H72,0)+IF($H$17=4,SpeakerCorrection4!H72,0)</f>
        <v>0</v>
      </c>
    </row>
    <row r="202" spans="1:8" ht="12" customHeight="1">
      <c r="A202" s="82"/>
      <c r="B202" s="4" t="s">
        <v>48</v>
      </c>
      <c r="C202" s="5" t="s">
        <v>130</v>
      </c>
      <c r="D202" s="2" t="s">
        <v>125</v>
      </c>
      <c r="E202" s="7">
        <f>IF($H$17=1,SpeakerCorrection1!E73,0)+IF($H$17=2,SpeakerCorrection2!E73,0)+IF($H$17=3,SpeakerCorrection3!E73,0)+IF($H$17=4,SpeakerCorrection4!E73,0)</f>
        <v>0</v>
      </c>
      <c r="F202" s="7">
        <f>IF($H$17=1,SpeakerCorrection1!F73,0)+IF($H$17=2,SpeakerCorrection2!F73,0)+IF($H$17=3,SpeakerCorrection3!F73,0)+IF($H$17=4,SpeakerCorrection4!F73,0)</f>
        <v>0</v>
      </c>
      <c r="G202" s="7">
        <f>IF($H$17=1,SpeakerCorrection1!G73,0)+IF($H$17=2,SpeakerCorrection2!G73,0)+IF($H$17=3,SpeakerCorrection3!G73,0)+IF($H$17=4,SpeakerCorrection4!G73,0)</f>
        <v>0</v>
      </c>
      <c r="H202" s="7">
        <f>IF($H$17=1,SpeakerCorrection1!H73,0)+IF($H$17=2,SpeakerCorrection2!H73,0)+IF($H$17=3,SpeakerCorrection3!H73,0)+IF($H$17=4,SpeakerCorrection4!H73,0)</f>
        <v>0</v>
      </c>
    </row>
    <row r="203" spans="1:8" ht="12" customHeight="1">
      <c r="A203" s="82"/>
      <c r="B203" s="4" t="s">
        <v>49</v>
      </c>
      <c r="C203" s="5" t="s">
        <v>130</v>
      </c>
      <c r="D203" s="2" t="s">
        <v>125</v>
      </c>
      <c r="E203" s="7">
        <f>IF($H$17=1,SpeakerCorrection1!E74,0)+IF($H$17=2,SpeakerCorrection2!E74,0)+IF($H$17=3,SpeakerCorrection3!E74,0)+IF($H$17=4,SpeakerCorrection4!E74,0)</f>
        <v>0</v>
      </c>
      <c r="F203" s="7">
        <f>IF($H$17=1,SpeakerCorrection1!F74,0)+IF($H$17=2,SpeakerCorrection2!F74,0)+IF($H$17=3,SpeakerCorrection3!F74,0)+IF($H$17=4,SpeakerCorrection4!F74,0)</f>
        <v>0</v>
      </c>
      <c r="G203" s="7">
        <f>IF($H$17=1,SpeakerCorrection1!G74,0)+IF($H$17=2,SpeakerCorrection2!G74,0)+IF($H$17=3,SpeakerCorrection3!G74,0)+IF($H$17=4,SpeakerCorrection4!G74,0)</f>
        <v>0</v>
      </c>
      <c r="H203" s="7">
        <f>IF($H$17=1,SpeakerCorrection1!H74,0)+IF($H$17=2,SpeakerCorrection2!H74,0)+IF($H$17=3,SpeakerCorrection3!H74,0)+IF($H$17=4,SpeakerCorrection4!H74,0)</f>
        <v>0</v>
      </c>
    </row>
    <row r="204" spans="1:8" ht="12" customHeight="1">
      <c r="A204" s="82"/>
      <c r="B204" s="4" t="s">
        <v>50</v>
      </c>
      <c r="C204" s="5" t="s">
        <v>130</v>
      </c>
      <c r="D204" s="2" t="s">
        <v>125</v>
      </c>
      <c r="E204" s="7">
        <f>IF($H$17=1,SpeakerCorrection1!E75,0)+IF($H$17=2,SpeakerCorrection2!E75,0)+IF($H$17=3,SpeakerCorrection3!E75,0)+IF($H$17=4,SpeakerCorrection4!E75,0)</f>
        <v>0</v>
      </c>
      <c r="F204" s="7">
        <f>IF($H$17=1,SpeakerCorrection1!F75,0)+IF($H$17=2,SpeakerCorrection2!F75,0)+IF($H$17=3,SpeakerCorrection3!F75,0)+IF($H$17=4,SpeakerCorrection4!F75,0)</f>
        <v>0</v>
      </c>
      <c r="G204" s="7">
        <f>IF($H$17=1,SpeakerCorrection1!G75,0)+IF($H$17=2,SpeakerCorrection2!G75,0)+IF($H$17=3,SpeakerCorrection3!G75,0)+IF($H$17=4,SpeakerCorrection4!G75,0)</f>
        <v>0</v>
      </c>
      <c r="H204" s="7">
        <f>IF($H$17=1,SpeakerCorrection1!H75,0)+IF($H$17=2,SpeakerCorrection2!H75,0)+IF($H$17=3,SpeakerCorrection3!H75,0)+IF($H$17=4,SpeakerCorrection4!H75,0)</f>
        <v>0</v>
      </c>
    </row>
    <row r="205" spans="1:8" ht="12" customHeight="1">
      <c r="A205" s="82"/>
      <c r="B205" s="4" t="s">
        <v>51</v>
      </c>
      <c r="C205" s="5" t="s">
        <v>130</v>
      </c>
      <c r="D205" s="2" t="s">
        <v>125</v>
      </c>
      <c r="E205" s="7">
        <f>IF($H$17=1,SpeakerCorrection1!E76,0)+IF($H$17=2,SpeakerCorrection2!E76,0)+IF($H$17=3,SpeakerCorrection3!E76,0)+IF($H$17=4,SpeakerCorrection4!E76,0)</f>
        <v>0</v>
      </c>
      <c r="F205" s="7">
        <f>IF($H$17=1,SpeakerCorrection1!F76,0)+IF($H$17=2,SpeakerCorrection2!F76,0)+IF($H$17=3,SpeakerCorrection3!F76,0)+IF($H$17=4,SpeakerCorrection4!F76,0)</f>
        <v>0</v>
      </c>
      <c r="G205" s="7">
        <f>IF($H$17=1,SpeakerCorrection1!G76,0)+IF($H$17=2,SpeakerCorrection2!G76,0)+IF($H$17=3,SpeakerCorrection3!G76,0)+IF($H$17=4,SpeakerCorrection4!G76,0)</f>
        <v>0</v>
      </c>
      <c r="H205" s="7">
        <f>IF($H$17=1,SpeakerCorrection1!H76,0)+IF($H$17=2,SpeakerCorrection2!H76,0)+IF($H$17=3,SpeakerCorrection3!H76,0)+IF($H$17=4,SpeakerCorrection4!H76,0)</f>
        <v>0</v>
      </c>
    </row>
    <row r="206" spans="1:8" ht="12" customHeight="1">
      <c r="A206" s="83"/>
      <c r="B206" s="4" t="s">
        <v>52</v>
      </c>
      <c r="C206" s="5" t="s">
        <v>130</v>
      </c>
      <c r="D206" s="2" t="s">
        <v>125</v>
      </c>
      <c r="E206" s="7">
        <f>IF($H$17=1,SpeakerCorrection1!E77,0)+IF($H$17=2,SpeakerCorrection2!E77,0)+IF($H$17=3,SpeakerCorrection3!E77,0)+IF($H$17=4,SpeakerCorrection4!E77,0)</f>
        <v>0</v>
      </c>
      <c r="F206" s="7">
        <f>IF($H$17=1,SpeakerCorrection1!F77,0)+IF($H$17=2,SpeakerCorrection2!F77,0)+IF($H$17=3,SpeakerCorrection3!F77,0)+IF($H$17=4,SpeakerCorrection4!F77,0)</f>
        <v>0</v>
      </c>
      <c r="G206" s="7">
        <f>IF($H$17=1,SpeakerCorrection1!G77,0)+IF($H$17=2,SpeakerCorrection2!G77,0)+IF($H$17=3,SpeakerCorrection3!G77,0)+IF($H$17=4,SpeakerCorrection4!G77,0)</f>
        <v>0</v>
      </c>
      <c r="H206" s="7">
        <f>IF($H$17=1,SpeakerCorrection1!H77,0)+IF($H$17=2,SpeakerCorrection2!H77,0)+IF($H$17=3,SpeakerCorrection3!H77,0)+IF($H$17=4,SpeakerCorrection4!H77,0)</f>
        <v>0</v>
      </c>
    </row>
    <row r="207" spans="1:8" ht="12" customHeight="1">
      <c r="A207" s="81" t="s">
        <v>123</v>
      </c>
      <c r="B207" s="4">
        <v>20</v>
      </c>
      <c r="C207" s="5" t="s">
        <v>130</v>
      </c>
      <c r="D207" s="2" t="s">
        <v>124</v>
      </c>
      <c r="E207" s="53">
        <f>IF($H$17=1,SpeakerCorrection1!E78,0)+IF($H$17=2,SpeakerCorrection2!E78,0)+IF($H$17=3,SpeakerCorrection3!E78,0)+IF($H$17=4,SpeakerCorrection4!E78,0)</f>
        <v>0</v>
      </c>
      <c r="F207" s="53">
        <f>IF($H$17=1,SpeakerCorrection1!F78,0)+IF($H$17=2,SpeakerCorrection2!F78,0)+IF($H$17=3,SpeakerCorrection3!F78,0)+IF($H$17=4,SpeakerCorrection4!F78,0)</f>
        <v>0</v>
      </c>
      <c r="G207" s="53">
        <f>IF($H$17=1,SpeakerCorrection1!G78,0)+IF($H$17=2,SpeakerCorrection2!G78,0)+IF($H$17=3,SpeakerCorrection3!G78,0)+IF($H$17=4,SpeakerCorrection4!G78,0)</f>
        <v>0</v>
      </c>
      <c r="H207" s="53">
        <f>IF($H$17=1,SpeakerCorrection1!H78,0)+IF($H$17=2,SpeakerCorrection2!H78,0)+IF($H$17=3,SpeakerCorrection3!H78,0)+IF($H$17=4,SpeakerCorrection4!H78,0)</f>
        <v>0</v>
      </c>
    </row>
    <row r="208" spans="1:8" ht="12" customHeight="1">
      <c r="A208" s="82"/>
      <c r="B208" s="4">
        <v>30</v>
      </c>
      <c r="C208" s="5" t="s">
        <v>130</v>
      </c>
      <c r="D208" s="2" t="s">
        <v>124</v>
      </c>
      <c r="E208" s="53">
        <f>IF($H$17=1,SpeakerCorrection1!E79,0)+IF($H$17=2,SpeakerCorrection2!E79,0)+IF($H$17=3,SpeakerCorrection3!E79,0)+IF($H$17=4,SpeakerCorrection4!E79,0)</f>
        <v>0</v>
      </c>
      <c r="F208" s="53">
        <f>IF($H$17=1,SpeakerCorrection1!F79,0)+IF($H$17=2,SpeakerCorrection2!F79,0)+IF($H$17=3,SpeakerCorrection3!F79,0)+IF($H$17=4,SpeakerCorrection4!F79,0)</f>
        <v>0</v>
      </c>
      <c r="G208" s="53">
        <f>IF($H$17=1,SpeakerCorrection1!G79,0)+IF($H$17=2,SpeakerCorrection2!G79,0)+IF($H$17=3,SpeakerCorrection3!G79,0)+IF($H$17=4,SpeakerCorrection4!G79,0)</f>
        <v>0</v>
      </c>
      <c r="H208" s="53">
        <f>IF($H$17=1,SpeakerCorrection1!H79,0)+IF($H$17=2,SpeakerCorrection2!H79,0)+IF($H$17=3,SpeakerCorrection3!H79,0)+IF($H$17=4,SpeakerCorrection4!H79,0)</f>
        <v>0</v>
      </c>
    </row>
    <row r="209" spans="1:8" ht="12" customHeight="1">
      <c r="A209" s="82"/>
      <c r="B209" s="4">
        <v>40</v>
      </c>
      <c r="C209" s="5" t="s">
        <v>130</v>
      </c>
      <c r="D209" s="2" t="s">
        <v>124</v>
      </c>
      <c r="E209" s="53">
        <f>IF($H$17=1,SpeakerCorrection1!E80,0)+IF($H$17=2,SpeakerCorrection2!E80,0)+IF($H$17=3,SpeakerCorrection3!E80,0)+IF($H$17=4,SpeakerCorrection4!E80,0)</f>
        <v>0</v>
      </c>
      <c r="F209" s="53">
        <f>IF($H$17=1,SpeakerCorrection1!F80,0)+IF($H$17=2,SpeakerCorrection2!F80,0)+IF($H$17=3,SpeakerCorrection3!F80,0)+IF($H$17=4,SpeakerCorrection4!F80,0)</f>
        <v>0</v>
      </c>
      <c r="G209" s="53">
        <f>IF($H$17=1,SpeakerCorrection1!G80,0)+IF($H$17=2,SpeakerCorrection2!G80,0)+IF($H$17=3,SpeakerCorrection3!G80,0)+IF($H$17=4,SpeakerCorrection4!G80,0)</f>
        <v>0</v>
      </c>
      <c r="H209" s="53">
        <f>IF($H$17=1,SpeakerCorrection1!H80,0)+IF($H$17=2,SpeakerCorrection2!H80,0)+IF($H$17=3,SpeakerCorrection3!H80,0)+IF($H$17=4,SpeakerCorrection4!H80,0)</f>
        <v>0</v>
      </c>
    </row>
    <row r="210" spans="1:8" ht="12" customHeight="1">
      <c r="A210" s="82"/>
      <c r="B210" s="4">
        <v>50</v>
      </c>
      <c r="C210" s="5" t="s">
        <v>130</v>
      </c>
      <c r="D210" s="2" t="s">
        <v>124</v>
      </c>
      <c r="E210" s="53">
        <f>IF($H$17=1,SpeakerCorrection1!E81,0)+IF($H$17=2,SpeakerCorrection2!E81,0)+IF($H$17=3,SpeakerCorrection3!E81,0)+IF($H$17=4,SpeakerCorrection4!E81,0)</f>
        <v>0</v>
      </c>
      <c r="F210" s="53">
        <f>IF($H$17=1,SpeakerCorrection1!F81,0)+IF($H$17=2,SpeakerCorrection2!F81,0)+IF($H$17=3,SpeakerCorrection3!F81,0)+IF($H$17=4,SpeakerCorrection4!F81,0)</f>
        <v>0</v>
      </c>
      <c r="G210" s="53">
        <f>IF($H$17=1,SpeakerCorrection1!G81,0)+IF($H$17=2,SpeakerCorrection2!G81,0)+IF($H$17=3,SpeakerCorrection3!G81,0)+IF($H$17=4,SpeakerCorrection4!G81,0)</f>
        <v>0</v>
      </c>
      <c r="H210" s="53">
        <f>IF($H$17=1,SpeakerCorrection1!H81,0)+IF($H$17=2,SpeakerCorrection2!H81,0)+IF($H$17=3,SpeakerCorrection3!H81,0)+IF($H$17=4,SpeakerCorrection4!H81,0)</f>
        <v>0</v>
      </c>
    </row>
    <row r="211" spans="1:8" ht="12" customHeight="1">
      <c r="A211" s="82"/>
      <c r="B211" s="4">
        <v>70</v>
      </c>
      <c r="C211" s="5" t="s">
        <v>130</v>
      </c>
      <c r="D211" s="2" t="s">
        <v>124</v>
      </c>
      <c r="E211" s="53">
        <f>IF($H$17=1,SpeakerCorrection1!E82,0)+IF($H$17=2,SpeakerCorrection2!E82,0)+IF($H$17=3,SpeakerCorrection3!E82,0)+IF($H$17=4,SpeakerCorrection4!E82,0)</f>
        <v>0</v>
      </c>
      <c r="F211" s="53">
        <f>IF($H$17=1,SpeakerCorrection1!F82,0)+IF($H$17=2,SpeakerCorrection2!F82,0)+IF($H$17=3,SpeakerCorrection3!F82,0)+IF($H$17=4,SpeakerCorrection4!F82,0)</f>
        <v>0</v>
      </c>
      <c r="G211" s="53">
        <f>IF($H$17=1,SpeakerCorrection1!G82,0)+IF($H$17=2,SpeakerCorrection2!G82,0)+IF($H$17=3,SpeakerCorrection3!G82,0)+IF($H$17=4,SpeakerCorrection4!G82,0)</f>
        <v>0</v>
      </c>
      <c r="H211" s="53">
        <f>IF($H$17=1,SpeakerCorrection1!H82,0)+IF($H$17=2,SpeakerCorrection2!H82,0)+IF($H$17=3,SpeakerCorrection3!H82,0)+IF($H$17=4,SpeakerCorrection4!H82,0)</f>
        <v>0</v>
      </c>
    </row>
    <row r="212" spans="1:8" ht="12" customHeight="1">
      <c r="A212" s="82"/>
      <c r="B212" s="4">
        <v>100</v>
      </c>
      <c r="C212" s="5" t="s">
        <v>130</v>
      </c>
      <c r="D212" s="2" t="s">
        <v>124</v>
      </c>
      <c r="E212" s="53">
        <f>IF($H$17=1,SpeakerCorrection1!E83,0)+IF($H$17=2,SpeakerCorrection2!E83,0)+IF($H$17=3,SpeakerCorrection3!E83,0)+IF($H$17=4,SpeakerCorrection4!E83,0)</f>
        <v>0</v>
      </c>
      <c r="F212" s="53">
        <f>IF($H$17=1,SpeakerCorrection1!F83,0)+IF($H$17=2,SpeakerCorrection2!F83,0)+IF($H$17=3,SpeakerCorrection3!F83,0)+IF($H$17=4,SpeakerCorrection4!F83,0)</f>
        <v>0</v>
      </c>
      <c r="G212" s="53">
        <f>IF($H$17=1,SpeakerCorrection1!G83,0)+IF($H$17=2,SpeakerCorrection2!G83,0)+IF($H$17=3,SpeakerCorrection3!G83,0)+IF($H$17=4,SpeakerCorrection4!G83,0)</f>
        <v>0</v>
      </c>
      <c r="H212" s="53">
        <f>IF($H$17=1,SpeakerCorrection1!H83,0)+IF($H$17=2,SpeakerCorrection2!H83,0)+IF($H$17=3,SpeakerCorrection3!H83,0)+IF($H$17=4,SpeakerCorrection4!H83,0)</f>
        <v>0</v>
      </c>
    </row>
    <row r="213" spans="1:8" ht="12" customHeight="1">
      <c r="A213" s="82"/>
      <c r="B213" s="4">
        <v>150</v>
      </c>
      <c r="C213" s="5" t="s">
        <v>130</v>
      </c>
      <c r="D213" s="2" t="s">
        <v>124</v>
      </c>
      <c r="E213" s="53">
        <f>IF($H$17=1,SpeakerCorrection1!E84,0)+IF($H$17=2,SpeakerCorrection2!E84,0)+IF($H$17=3,SpeakerCorrection3!E84,0)+IF($H$17=4,SpeakerCorrection4!E84,0)</f>
        <v>0</v>
      </c>
      <c r="F213" s="53">
        <f>IF($H$17=1,SpeakerCorrection1!F84,0)+IF($H$17=2,SpeakerCorrection2!F84,0)+IF($H$17=3,SpeakerCorrection3!F84,0)+IF($H$17=4,SpeakerCorrection4!F84,0)</f>
        <v>0</v>
      </c>
      <c r="G213" s="53">
        <f>IF($H$17=1,SpeakerCorrection1!G84,0)+IF($H$17=2,SpeakerCorrection2!G84,0)+IF($H$17=3,SpeakerCorrection3!G84,0)+IF($H$17=4,SpeakerCorrection4!G84,0)</f>
        <v>0</v>
      </c>
      <c r="H213" s="53">
        <f>IF($H$17=1,SpeakerCorrection1!H84,0)+IF($H$17=2,SpeakerCorrection2!H84,0)+IF($H$17=3,SpeakerCorrection3!H84,0)+IF($H$17=4,SpeakerCorrection4!H84,0)</f>
        <v>0</v>
      </c>
    </row>
    <row r="214" spans="1:8" ht="12" customHeight="1">
      <c r="A214" s="82"/>
      <c r="B214" s="4">
        <v>200</v>
      </c>
      <c r="C214" s="5" t="s">
        <v>130</v>
      </c>
      <c r="D214" s="2" t="s">
        <v>124</v>
      </c>
      <c r="E214" s="53">
        <f>IF($H$17=1,SpeakerCorrection1!E85,0)+IF($H$17=2,SpeakerCorrection2!E85,0)+IF($H$17=3,SpeakerCorrection3!E85,0)+IF($H$17=4,SpeakerCorrection4!E85,0)</f>
        <v>0</v>
      </c>
      <c r="F214" s="53">
        <f>IF($H$17=1,SpeakerCorrection1!F85,0)+IF($H$17=2,SpeakerCorrection2!F85,0)+IF($H$17=3,SpeakerCorrection3!F85,0)+IF($H$17=4,SpeakerCorrection4!F85,0)</f>
        <v>0</v>
      </c>
      <c r="G214" s="53">
        <f>IF($H$17=1,SpeakerCorrection1!G85,0)+IF($H$17=2,SpeakerCorrection2!G85,0)+IF($H$17=3,SpeakerCorrection3!G85,0)+IF($H$17=4,SpeakerCorrection4!G85,0)</f>
        <v>0</v>
      </c>
      <c r="H214" s="53">
        <f>IF($H$17=1,SpeakerCorrection1!H85,0)+IF($H$17=2,SpeakerCorrection2!H85,0)+IF($H$17=3,SpeakerCorrection3!H85,0)+IF($H$17=4,SpeakerCorrection4!H85,0)</f>
        <v>0</v>
      </c>
    </row>
    <row r="215" spans="1:8" ht="12" customHeight="1">
      <c r="A215" s="82"/>
      <c r="B215" s="4">
        <v>300</v>
      </c>
      <c r="C215" s="5" t="s">
        <v>130</v>
      </c>
      <c r="D215" s="2" t="s">
        <v>124</v>
      </c>
      <c r="E215" s="53">
        <f>IF($H$17=1,SpeakerCorrection1!E86,0)+IF($H$17=2,SpeakerCorrection2!E86,0)+IF($H$17=3,SpeakerCorrection3!E86,0)+IF($H$17=4,SpeakerCorrection4!E86,0)</f>
        <v>0</v>
      </c>
      <c r="F215" s="53">
        <f>IF($H$17=1,SpeakerCorrection1!F86,0)+IF($H$17=2,SpeakerCorrection2!F86,0)+IF($H$17=3,SpeakerCorrection3!F86,0)+IF($H$17=4,SpeakerCorrection4!F86,0)</f>
        <v>0</v>
      </c>
      <c r="G215" s="53">
        <f>IF($H$17=1,SpeakerCorrection1!G86,0)+IF($H$17=2,SpeakerCorrection2!G86,0)+IF($H$17=3,SpeakerCorrection3!G86,0)+IF($H$17=4,SpeakerCorrection4!G86,0)</f>
        <v>0</v>
      </c>
      <c r="H215" s="53">
        <f>IF($H$17=1,SpeakerCorrection1!H86,0)+IF($H$17=2,SpeakerCorrection2!H86,0)+IF($H$17=3,SpeakerCorrection3!H86,0)+IF($H$17=4,SpeakerCorrection4!H86,0)</f>
        <v>0</v>
      </c>
    </row>
    <row r="216" spans="1:8" ht="12" customHeight="1">
      <c r="A216" s="82"/>
      <c r="B216" s="4">
        <v>400</v>
      </c>
      <c r="C216" s="5" t="s">
        <v>130</v>
      </c>
      <c r="D216" s="2" t="s">
        <v>124</v>
      </c>
      <c r="E216" s="53">
        <f>IF($H$17=1,SpeakerCorrection1!E87,0)+IF($H$17=2,SpeakerCorrection2!E87,0)+IF($H$17=3,SpeakerCorrection3!E87,0)+IF($H$17=4,SpeakerCorrection4!E87,0)</f>
        <v>0</v>
      </c>
      <c r="F216" s="53">
        <f>IF($H$17=1,SpeakerCorrection1!F87,0)+IF($H$17=2,SpeakerCorrection2!F87,0)+IF($H$17=3,SpeakerCorrection3!F87,0)+IF($H$17=4,SpeakerCorrection4!F87,0)</f>
        <v>0</v>
      </c>
      <c r="G216" s="53">
        <f>IF($H$17=1,SpeakerCorrection1!G87,0)+IF($H$17=2,SpeakerCorrection2!G87,0)+IF($H$17=3,SpeakerCorrection3!G87,0)+IF($H$17=4,SpeakerCorrection4!G87,0)</f>
        <v>0</v>
      </c>
      <c r="H216" s="53">
        <f>IF($H$17=1,SpeakerCorrection1!H87,0)+IF($H$17=2,SpeakerCorrection2!H87,0)+IF($H$17=3,SpeakerCorrection3!H87,0)+IF($H$17=4,SpeakerCorrection4!H87,0)</f>
        <v>0</v>
      </c>
    </row>
    <row r="217" spans="1:8" ht="12" customHeight="1">
      <c r="A217" s="82"/>
      <c r="B217" s="4">
        <v>500</v>
      </c>
      <c r="C217" s="5" t="s">
        <v>130</v>
      </c>
      <c r="D217" s="2" t="s">
        <v>124</v>
      </c>
      <c r="E217" s="53">
        <f>IF($H$17=1,SpeakerCorrection1!E88,0)+IF($H$17=2,SpeakerCorrection2!E88,0)+IF($H$17=3,SpeakerCorrection3!E88,0)+IF($H$17=4,SpeakerCorrection4!E88,0)</f>
        <v>0</v>
      </c>
      <c r="F217" s="53">
        <f>IF($H$17=1,SpeakerCorrection1!F88,0)+IF($H$17=2,SpeakerCorrection2!F88,0)+IF($H$17=3,SpeakerCorrection3!F88,0)+IF($H$17=4,SpeakerCorrection4!F88,0)</f>
        <v>0</v>
      </c>
      <c r="G217" s="53">
        <f>IF($H$17=1,SpeakerCorrection1!G88,0)+IF($H$17=2,SpeakerCorrection2!G88,0)+IF($H$17=3,SpeakerCorrection3!G88,0)+IF($H$17=4,SpeakerCorrection4!G88,0)</f>
        <v>0</v>
      </c>
      <c r="H217" s="53">
        <f>IF($H$17=1,SpeakerCorrection1!H88,0)+IF($H$17=2,SpeakerCorrection2!H88,0)+IF($H$17=3,SpeakerCorrection3!H88,0)+IF($H$17=4,SpeakerCorrection4!H88,0)</f>
        <v>0</v>
      </c>
    </row>
    <row r="218" spans="1:8" ht="12" customHeight="1">
      <c r="A218" s="82"/>
      <c r="B218" s="4">
        <v>700</v>
      </c>
      <c r="C218" s="5" t="s">
        <v>130</v>
      </c>
      <c r="D218" s="2" t="s">
        <v>124</v>
      </c>
      <c r="E218" s="53">
        <f>IF($H$17=1,SpeakerCorrection1!E89,0)+IF($H$17=2,SpeakerCorrection2!E89,0)+IF($H$17=3,SpeakerCorrection3!E89,0)+IF($H$17=4,SpeakerCorrection4!E89,0)</f>
        <v>0</v>
      </c>
      <c r="F218" s="53">
        <f>IF($H$17=1,SpeakerCorrection1!F89,0)+IF($H$17=2,SpeakerCorrection2!F89,0)+IF($H$17=3,SpeakerCorrection3!F89,0)+IF($H$17=4,SpeakerCorrection4!F89,0)</f>
        <v>0</v>
      </c>
      <c r="G218" s="53">
        <f>IF($H$17=1,SpeakerCorrection1!G89,0)+IF($H$17=2,SpeakerCorrection2!G89,0)+IF($H$17=3,SpeakerCorrection3!G89,0)+IF($H$17=4,SpeakerCorrection4!G89,0)</f>
        <v>0</v>
      </c>
      <c r="H218" s="53">
        <f>IF($H$17=1,SpeakerCorrection1!H89,0)+IF($H$17=2,SpeakerCorrection2!H89,0)+IF($H$17=3,SpeakerCorrection3!H89,0)+IF($H$17=4,SpeakerCorrection4!H89,0)</f>
        <v>0</v>
      </c>
    </row>
    <row r="219" spans="1:8" ht="12" customHeight="1">
      <c r="A219" s="82"/>
      <c r="B219" s="4" t="s">
        <v>21</v>
      </c>
      <c r="C219" s="5" t="s">
        <v>130</v>
      </c>
      <c r="D219" s="2" t="s">
        <v>124</v>
      </c>
      <c r="E219" s="53">
        <f>IF($H$17=1,SpeakerCorrection1!E90,0)+IF($H$17=2,SpeakerCorrection2!E90,0)+IF($H$17=3,SpeakerCorrection3!E90,0)+IF($H$17=4,SpeakerCorrection4!E90,0)</f>
        <v>0</v>
      </c>
      <c r="F219" s="53">
        <f>IF($H$17=1,SpeakerCorrection1!F90,0)+IF($H$17=2,SpeakerCorrection2!F90,0)+IF($H$17=3,SpeakerCorrection3!F90,0)+IF($H$17=4,SpeakerCorrection4!F90,0)</f>
        <v>0</v>
      </c>
      <c r="G219" s="53">
        <f>IF($H$17=1,SpeakerCorrection1!G90,0)+IF($H$17=2,SpeakerCorrection2!G90,0)+IF($H$17=3,SpeakerCorrection3!G90,0)+IF($H$17=4,SpeakerCorrection4!G90,0)</f>
        <v>0</v>
      </c>
      <c r="H219" s="53">
        <f>IF($H$17=1,SpeakerCorrection1!H90,0)+IF($H$17=2,SpeakerCorrection2!H90,0)+IF($H$17=3,SpeakerCorrection3!H90,0)+IF($H$17=4,SpeakerCorrection4!H90,0)</f>
        <v>0</v>
      </c>
    </row>
    <row r="220" spans="1:8" ht="12" customHeight="1">
      <c r="A220" s="82"/>
      <c r="B220" s="4" t="s">
        <v>22</v>
      </c>
      <c r="C220" s="5" t="s">
        <v>130</v>
      </c>
      <c r="D220" s="2" t="s">
        <v>124</v>
      </c>
      <c r="E220" s="53">
        <f>IF($H$17=1,SpeakerCorrection1!E91,0)+IF($H$17=2,SpeakerCorrection2!E91,0)+IF($H$17=3,SpeakerCorrection3!E91,0)+IF($H$17=4,SpeakerCorrection4!E91,0)</f>
        <v>0</v>
      </c>
      <c r="F220" s="53">
        <f>IF($H$17=1,SpeakerCorrection1!F91,0)+IF($H$17=2,SpeakerCorrection2!F91,0)+IF($H$17=3,SpeakerCorrection3!F91,0)+IF($H$17=4,SpeakerCorrection4!F91,0)</f>
        <v>0</v>
      </c>
      <c r="G220" s="53">
        <f>IF($H$17=1,SpeakerCorrection1!G91,0)+IF($H$17=2,SpeakerCorrection2!G91,0)+IF($H$17=3,SpeakerCorrection3!G91,0)+IF($H$17=4,SpeakerCorrection4!G91,0)</f>
        <v>0</v>
      </c>
      <c r="H220" s="53">
        <f>IF($H$17=1,SpeakerCorrection1!H91,0)+IF($H$17=2,SpeakerCorrection2!H91,0)+IF($H$17=3,SpeakerCorrection3!H91,0)+IF($H$17=4,SpeakerCorrection4!H91,0)</f>
        <v>0</v>
      </c>
    </row>
    <row r="221" spans="1:8" ht="12" customHeight="1">
      <c r="A221" s="82"/>
      <c r="B221" s="4" t="s">
        <v>23</v>
      </c>
      <c r="C221" s="5" t="s">
        <v>130</v>
      </c>
      <c r="D221" s="2" t="s">
        <v>124</v>
      </c>
      <c r="E221" s="53">
        <f>IF($H$17=1,SpeakerCorrection1!E92,0)+IF($H$17=2,SpeakerCorrection2!E92,0)+IF($H$17=3,SpeakerCorrection3!E92,0)+IF($H$17=4,SpeakerCorrection4!E92,0)</f>
        <v>0</v>
      </c>
      <c r="F221" s="53">
        <f>IF($H$17=1,SpeakerCorrection1!F92,0)+IF($H$17=2,SpeakerCorrection2!F92,0)+IF($H$17=3,SpeakerCorrection3!F92,0)+IF($H$17=4,SpeakerCorrection4!F92,0)</f>
        <v>0</v>
      </c>
      <c r="G221" s="53">
        <f>IF($H$17=1,SpeakerCorrection1!G92,0)+IF($H$17=2,SpeakerCorrection2!G92,0)+IF($H$17=3,SpeakerCorrection3!G92,0)+IF($H$17=4,SpeakerCorrection4!G92,0)</f>
        <v>0</v>
      </c>
      <c r="H221" s="53">
        <f>IF($H$17=1,SpeakerCorrection1!H92,0)+IF($H$17=2,SpeakerCorrection2!H92,0)+IF($H$17=3,SpeakerCorrection3!H92,0)+IF($H$17=4,SpeakerCorrection4!H92,0)</f>
        <v>0</v>
      </c>
    </row>
    <row r="222" spans="1:8" ht="12" customHeight="1">
      <c r="A222" s="82"/>
      <c r="B222" s="4" t="s">
        <v>24</v>
      </c>
      <c r="C222" s="5" t="s">
        <v>130</v>
      </c>
      <c r="D222" s="2" t="s">
        <v>124</v>
      </c>
      <c r="E222" s="53">
        <f>IF($H$17=1,SpeakerCorrection1!E93,0)+IF($H$17=2,SpeakerCorrection2!E93,0)+IF($H$17=3,SpeakerCorrection3!E93,0)+IF($H$17=4,SpeakerCorrection4!E93,0)</f>
        <v>0</v>
      </c>
      <c r="F222" s="53">
        <f>IF($H$17=1,SpeakerCorrection1!F93,0)+IF($H$17=2,SpeakerCorrection2!F93,0)+IF($H$17=3,SpeakerCorrection3!F93,0)+IF($H$17=4,SpeakerCorrection4!F93,0)</f>
        <v>0</v>
      </c>
      <c r="G222" s="53">
        <f>IF($H$17=1,SpeakerCorrection1!G93,0)+IF($H$17=2,SpeakerCorrection2!G93,0)+IF($H$17=3,SpeakerCorrection3!G93,0)+IF($H$17=4,SpeakerCorrection4!G93,0)</f>
        <v>0</v>
      </c>
      <c r="H222" s="53">
        <f>IF($H$17=1,SpeakerCorrection1!H93,0)+IF($H$17=2,SpeakerCorrection2!H93,0)+IF($H$17=3,SpeakerCorrection3!H93,0)+IF($H$17=4,SpeakerCorrection4!H93,0)</f>
        <v>0</v>
      </c>
    </row>
    <row r="223" spans="1:8" ht="12" customHeight="1">
      <c r="A223" s="82"/>
      <c r="B223" s="4" t="s">
        <v>25</v>
      </c>
      <c r="C223" s="5" t="s">
        <v>130</v>
      </c>
      <c r="D223" s="2" t="s">
        <v>124</v>
      </c>
      <c r="E223" s="53">
        <f>IF($H$17=1,SpeakerCorrection1!E94,0)+IF($H$17=2,SpeakerCorrection2!E94,0)+IF($H$17=3,SpeakerCorrection3!E94,0)+IF($H$17=4,SpeakerCorrection4!E94,0)</f>
        <v>0</v>
      </c>
      <c r="F223" s="53">
        <f>IF($H$17=1,SpeakerCorrection1!F94,0)+IF($H$17=2,SpeakerCorrection2!F94,0)+IF($H$17=3,SpeakerCorrection3!F94,0)+IF($H$17=4,SpeakerCorrection4!F94,0)</f>
        <v>0</v>
      </c>
      <c r="G223" s="53">
        <f>IF($H$17=1,SpeakerCorrection1!G94,0)+IF($H$17=2,SpeakerCorrection2!G94,0)+IF($H$17=3,SpeakerCorrection3!G94,0)+IF($H$17=4,SpeakerCorrection4!G94,0)</f>
        <v>0</v>
      </c>
      <c r="H223" s="53">
        <f>IF($H$17=1,SpeakerCorrection1!H94,0)+IF($H$17=2,SpeakerCorrection2!H94,0)+IF($H$17=3,SpeakerCorrection3!H94,0)+IF($H$17=4,SpeakerCorrection4!H94,0)</f>
        <v>0</v>
      </c>
    </row>
    <row r="224" spans="1:8" ht="12" customHeight="1">
      <c r="A224" s="82"/>
      <c r="B224" s="4" t="s">
        <v>26</v>
      </c>
      <c r="C224" s="5" t="s">
        <v>130</v>
      </c>
      <c r="D224" s="2" t="s">
        <v>124</v>
      </c>
      <c r="E224" s="53">
        <f>IF($H$17=1,SpeakerCorrection1!E95,0)+IF($H$17=2,SpeakerCorrection2!E95,0)+IF($H$17=3,SpeakerCorrection3!E95,0)+IF($H$17=4,SpeakerCorrection4!E95,0)</f>
        <v>0</v>
      </c>
      <c r="F224" s="53">
        <f>IF($H$17=1,SpeakerCorrection1!F95,0)+IF($H$17=2,SpeakerCorrection2!F95,0)+IF($H$17=3,SpeakerCorrection3!F95,0)+IF($H$17=4,SpeakerCorrection4!F95,0)</f>
        <v>0</v>
      </c>
      <c r="G224" s="53">
        <f>IF($H$17=1,SpeakerCorrection1!G95,0)+IF($H$17=2,SpeakerCorrection2!G95,0)+IF($H$17=3,SpeakerCorrection3!G95,0)+IF($H$17=4,SpeakerCorrection4!G95,0)</f>
        <v>0</v>
      </c>
      <c r="H224" s="53">
        <f>IF($H$17=1,SpeakerCorrection1!H95,0)+IF($H$17=2,SpeakerCorrection2!H95,0)+IF($H$17=3,SpeakerCorrection3!H95,0)+IF($H$17=4,SpeakerCorrection4!H95,0)</f>
        <v>0</v>
      </c>
    </row>
    <row r="225" spans="1:8" ht="12" customHeight="1">
      <c r="A225" s="82"/>
      <c r="B225" s="4" t="s">
        <v>27</v>
      </c>
      <c r="C225" s="5" t="s">
        <v>130</v>
      </c>
      <c r="D225" s="2" t="s">
        <v>124</v>
      </c>
      <c r="E225" s="53">
        <f>IF($H$17=1,SpeakerCorrection1!E96,0)+IF($H$17=2,SpeakerCorrection2!E96,0)+IF($H$17=3,SpeakerCorrection3!E96,0)+IF($H$17=4,SpeakerCorrection4!E96,0)</f>
        <v>0</v>
      </c>
      <c r="F225" s="53">
        <f>IF($H$17=1,SpeakerCorrection1!F96,0)+IF($H$17=2,SpeakerCorrection2!F96,0)+IF($H$17=3,SpeakerCorrection3!F96,0)+IF($H$17=4,SpeakerCorrection4!F96,0)</f>
        <v>0</v>
      </c>
      <c r="G225" s="53">
        <f>IF($H$17=1,SpeakerCorrection1!G96,0)+IF($H$17=2,SpeakerCorrection2!G96,0)+IF($H$17=3,SpeakerCorrection3!G96,0)+IF($H$17=4,SpeakerCorrection4!G96,0)</f>
        <v>0</v>
      </c>
      <c r="H225" s="53">
        <f>IF($H$17=1,SpeakerCorrection1!H96,0)+IF($H$17=2,SpeakerCorrection2!H96,0)+IF($H$17=3,SpeakerCorrection3!H96,0)+IF($H$17=4,SpeakerCorrection4!H96,0)</f>
        <v>0</v>
      </c>
    </row>
    <row r="226" spans="1:8" ht="12" customHeight="1">
      <c r="A226" s="82"/>
      <c r="B226" s="4" t="s">
        <v>28</v>
      </c>
      <c r="C226" s="5" t="s">
        <v>130</v>
      </c>
      <c r="D226" s="2" t="s">
        <v>124</v>
      </c>
      <c r="E226" s="53">
        <f>IF($H$17=1,SpeakerCorrection1!E97,0)+IF($H$17=2,SpeakerCorrection2!E97,0)+IF($H$17=3,SpeakerCorrection3!E97,0)+IF($H$17=4,SpeakerCorrection4!E97,0)</f>
        <v>0</v>
      </c>
      <c r="F226" s="53">
        <f>IF($H$17=1,SpeakerCorrection1!F97,0)+IF($H$17=2,SpeakerCorrection2!F97,0)+IF($H$17=3,SpeakerCorrection3!F97,0)+IF($H$17=4,SpeakerCorrection4!F97,0)</f>
        <v>0</v>
      </c>
      <c r="G226" s="53">
        <f>IF($H$17=1,SpeakerCorrection1!G97,0)+IF($H$17=2,SpeakerCorrection2!G97,0)+IF($H$17=3,SpeakerCorrection3!G97,0)+IF($H$17=4,SpeakerCorrection4!G97,0)</f>
        <v>0</v>
      </c>
      <c r="H226" s="53">
        <f>IF($H$17=1,SpeakerCorrection1!H97,0)+IF($H$17=2,SpeakerCorrection2!H97,0)+IF($H$17=3,SpeakerCorrection3!H97,0)+IF($H$17=4,SpeakerCorrection4!H97,0)</f>
        <v>0</v>
      </c>
    </row>
    <row r="227" spans="1:8" ht="12" customHeight="1">
      <c r="A227" s="82"/>
      <c r="B227" s="4" t="s">
        <v>29</v>
      </c>
      <c r="C227" s="5" t="s">
        <v>130</v>
      </c>
      <c r="D227" s="2" t="s">
        <v>124</v>
      </c>
      <c r="E227" s="53">
        <f>IF($H$17=1,SpeakerCorrection1!E98,0)+IF($H$17=2,SpeakerCorrection2!E98,0)+IF($H$17=3,SpeakerCorrection3!E98,0)+IF($H$17=4,SpeakerCorrection4!E98,0)</f>
        <v>0</v>
      </c>
      <c r="F227" s="53">
        <f>IF($H$17=1,SpeakerCorrection1!F98,0)+IF($H$17=2,SpeakerCorrection2!F98,0)+IF($H$17=3,SpeakerCorrection3!F98,0)+IF($H$17=4,SpeakerCorrection4!F98,0)</f>
        <v>0</v>
      </c>
      <c r="G227" s="53">
        <f>IF($H$17=1,SpeakerCorrection1!G98,0)+IF($H$17=2,SpeakerCorrection2!G98,0)+IF($H$17=3,SpeakerCorrection3!G98,0)+IF($H$17=4,SpeakerCorrection4!G98,0)</f>
        <v>0</v>
      </c>
      <c r="H227" s="53">
        <f>IF($H$17=1,SpeakerCorrection1!H98,0)+IF($H$17=2,SpeakerCorrection2!H98,0)+IF($H$17=3,SpeakerCorrection3!H98,0)+IF($H$17=4,SpeakerCorrection4!H98,0)</f>
        <v>0</v>
      </c>
    </row>
    <row r="228" spans="1:8" ht="12" customHeight="1">
      <c r="A228" s="83"/>
      <c r="B228" s="4" t="s">
        <v>30</v>
      </c>
      <c r="C228" s="5" t="s">
        <v>130</v>
      </c>
      <c r="D228" s="2" t="s">
        <v>124</v>
      </c>
      <c r="E228" s="53">
        <f>IF($H$17=1,SpeakerCorrection1!E99,0)+IF($H$17=2,SpeakerCorrection2!E99,0)+IF($H$17=3,SpeakerCorrection3!E99,0)+IF($H$17=4,SpeakerCorrection4!E99,0)</f>
        <v>0</v>
      </c>
      <c r="F228" s="53">
        <f>IF($H$17=1,SpeakerCorrection1!F99,0)+IF($H$17=2,SpeakerCorrection2!F99,0)+IF($H$17=3,SpeakerCorrection3!F99,0)+IF($H$17=4,SpeakerCorrection4!F99,0)</f>
        <v>0</v>
      </c>
      <c r="G228" s="53">
        <f>IF($H$17=1,SpeakerCorrection1!G99,0)+IF($H$17=2,SpeakerCorrection2!G99,0)+IF($H$17=3,SpeakerCorrection3!G99,0)+IF($H$17=4,SpeakerCorrection4!G99,0)</f>
        <v>0</v>
      </c>
      <c r="H228" s="53">
        <f>IF($H$17=1,SpeakerCorrection1!H99,0)+IF($H$17=2,SpeakerCorrection2!H99,0)+IF($H$17=3,SpeakerCorrection3!H99,0)+IF($H$17=4,SpeakerCorrection4!H99,0)</f>
        <v>0</v>
      </c>
    </row>
  </sheetData>
  <sheetProtection password="BF23" sheet="1" objects="1" scenarios="1"/>
  <mergeCells count="20">
    <mergeCell ref="A1:F1"/>
    <mergeCell ref="B20:C20"/>
    <mergeCell ref="A18:A19"/>
    <mergeCell ref="A23:A30"/>
    <mergeCell ref="A163:A184"/>
    <mergeCell ref="A141:A162"/>
    <mergeCell ref="A75:A96"/>
    <mergeCell ref="A53:A74"/>
    <mergeCell ref="A119:A140"/>
    <mergeCell ref="G16:H16"/>
    <mergeCell ref="I29:L29"/>
    <mergeCell ref="M29:M30"/>
    <mergeCell ref="M31:M52"/>
    <mergeCell ref="M53:M74"/>
    <mergeCell ref="A185:A206"/>
    <mergeCell ref="A207:A228"/>
    <mergeCell ref="A97:A118"/>
    <mergeCell ref="A31:A37"/>
    <mergeCell ref="A38:A45"/>
    <mergeCell ref="A46:A52"/>
  </mergeCells>
  <printOptions horizontalCentered="1"/>
  <pageMargins left="0.7874015748031497" right="0.3937007874015748" top="0.7874015748031497" bottom="0.3937007874015748" header="0.5118110236220472" footer="0.5118110236220472"/>
  <pageSetup horizontalDpi="600" verticalDpi="600" orientation="portrait" paperSize="9" r:id="rId4"/>
  <headerFooter alignWithMargins="0">
    <oddHeader>&amp;R&amp;P/&amp;N</oddHead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50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9.375" style="0" customWidth="1"/>
    <col min="2" max="2" width="14.125" style="0" customWidth="1"/>
    <col min="3" max="3" width="5.875" style="0" customWidth="1"/>
    <col min="4" max="9" width="8.50390625" style="0" customWidth="1"/>
    <col min="10" max="14" width="11.125" style="0" customWidth="1"/>
  </cols>
  <sheetData>
    <row r="1" spans="1:10" ht="15" customHeight="1">
      <c r="A1" s="88" t="s">
        <v>163</v>
      </c>
      <c r="B1" s="89"/>
      <c r="C1" s="89"/>
      <c r="D1" s="89"/>
      <c r="E1" s="89"/>
      <c r="F1" s="89"/>
      <c r="G1" s="90"/>
      <c r="H1" s="34" t="s">
        <v>150</v>
      </c>
      <c r="I1" s="35" t="s">
        <v>149</v>
      </c>
      <c r="J1" s="65" t="s">
        <v>135</v>
      </c>
    </row>
    <row r="2" spans="1:17" ht="15" customHeight="1">
      <c r="A2" s="24"/>
      <c r="B2" s="25"/>
      <c r="C2" s="25"/>
      <c r="D2" s="25"/>
      <c r="E2" s="25"/>
      <c r="F2" s="25"/>
      <c r="G2" s="25"/>
      <c r="H2" s="25"/>
      <c r="I2" s="26"/>
      <c r="J2" s="66" t="s">
        <v>136</v>
      </c>
      <c r="K2" s="1"/>
      <c r="L2" s="1"/>
      <c r="M2" s="1"/>
      <c r="N2" s="1"/>
      <c r="O2" s="1"/>
      <c r="P2" s="1"/>
      <c r="Q2" s="1"/>
    </row>
    <row r="3" spans="1:17" ht="15" customHeight="1">
      <c r="A3" s="27"/>
      <c r="B3" s="28"/>
      <c r="C3" s="28"/>
      <c r="D3" s="28"/>
      <c r="E3" s="28"/>
      <c r="F3" s="28"/>
      <c r="G3" s="28"/>
      <c r="H3" s="28"/>
      <c r="I3" s="29"/>
      <c r="J3" s="1" t="s">
        <v>138</v>
      </c>
      <c r="K3" s="1"/>
      <c r="L3" s="1"/>
      <c r="M3" s="1"/>
      <c r="N3" s="1"/>
      <c r="O3" s="1"/>
      <c r="P3" s="1"/>
      <c r="Q3" s="1"/>
    </row>
    <row r="4" spans="1:17" ht="15" customHeight="1">
      <c r="A4" s="27"/>
      <c r="B4" s="28"/>
      <c r="C4" s="28"/>
      <c r="D4" s="28"/>
      <c r="E4" s="28"/>
      <c r="F4" s="28"/>
      <c r="G4" s="28"/>
      <c r="H4" s="28"/>
      <c r="I4" s="29"/>
      <c r="J4" s="1" t="s">
        <v>139</v>
      </c>
      <c r="K4" s="1"/>
      <c r="L4" s="1"/>
      <c r="M4" s="1"/>
      <c r="N4" s="1"/>
      <c r="O4" s="1"/>
      <c r="P4" s="1"/>
      <c r="Q4" s="1"/>
    </row>
    <row r="5" spans="1:17" ht="15" customHeight="1">
      <c r="A5" s="27"/>
      <c r="B5" s="28"/>
      <c r="C5" s="28"/>
      <c r="D5" s="28"/>
      <c r="E5" s="28"/>
      <c r="F5" s="28"/>
      <c r="G5" s="28"/>
      <c r="H5" s="28"/>
      <c r="I5" s="29"/>
      <c r="J5" s="1" t="s">
        <v>140</v>
      </c>
      <c r="K5" s="1"/>
      <c r="L5" s="1"/>
      <c r="M5" s="1"/>
      <c r="N5" s="1"/>
      <c r="O5" s="1"/>
      <c r="P5" s="1"/>
      <c r="Q5" s="1"/>
    </row>
    <row r="6" spans="1:17" ht="15" customHeight="1">
      <c r="A6" s="27"/>
      <c r="B6" s="28"/>
      <c r="C6" s="28"/>
      <c r="D6" s="28"/>
      <c r="E6" s="28"/>
      <c r="F6" s="28"/>
      <c r="G6" s="28"/>
      <c r="H6" s="28"/>
      <c r="I6" s="29"/>
      <c r="J6" s="66" t="s">
        <v>137</v>
      </c>
      <c r="K6" s="1"/>
      <c r="L6" s="1"/>
      <c r="M6" s="1"/>
      <c r="N6" s="1"/>
      <c r="O6" s="1"/>
      <c r="P6" s="1"/>
      <c r="Q6" s="1"/>
    </row>
    <row r="7" spans="1:17" ht="15" customHeight="1">
      <c r="A7" s="27"/>
      <c r="B7" s="28"/>
      <c r="C7" s="28"/>
      <c r="D7" s="28"/>
      <c r="E7" s="28"/>
      <c r="F7" s="28"/>
      <c r="G7" s="28"/>
      <c r="H7" s="28"/>
      <c r="I7" s="29"/>
      <c r="J7" s="1" t="s">
        <v>141</v>
      </c>
      <c r="K7" s="1"/>
      <c r="L7" s="1"/>
      <c r="M7" s="1"/>
      <c r="N7" s="1"/>
      <c r="O7" s="1"/>
      <c r="P7" s="1"/>
      <c r="Q7" s="1"/>
    </row>
    <row r="8" spans="1:17" ht="15" customHeight="1">
      <c r="A8" s="27"/>
      <c r="B8" s="28"/>
      <c r="C8" s="28"/>
      <c r="D8" s="28"/>
      <c r="E8" s="28"/>
      <c r="F8" s="28"/>
      <c r="G8" s="28"/>
      <c r="H8" s="28"/>
      <c r="I8" s="29"/>
      <c r="J8" s="1" t="s">
        <v>142</v>
      </c>
      <c r="K8" s="1"/>
      <c r="L8" s="1"/>
      <c r="M8" s="1"/>
      <c r="N8" s="1"/>
      <c r="O8" s="1"/>
      <c r="P8" s="1"/>
      <c r="Q8" s="1"/>
    </row>
    <row r="9" spans="1:17" ht="15" customHeight="1">
      <c r="A9" s="27"/>
      <c r="B9" s="28"/>
      <c r="C9" s="28"/>
      <c r="D9" s="28"/>
      <c r="E9" s="28"/>
      <c r="F9" s="28"/>
      <c r="G9" s="28"/>
      <c r="H9" s="28"/>
      <c r="I9" s="29"/>
      <c r="J9" s="1" t="s">
        <v>143</v>
      </c>
      <c r="K9" s="1"/>
      <c r="L9" s="1"/>
      <c r="M9" s="1"/>
      <c r="N9" s="1"/>
      <c r="O9" s="1"/>
      <c r="P9" s="1"/>
      <c r="Q9" s="1"/>
    </row>
    <row r="10" spans="1:17" ht="15" customHeight="1">
      <c r="A10" s="27"/>
      <c r="B10" s="28"/>
      <c r="C10" s="28"/>
      <c r="D10" s="28"/>
      <c r="E10" s="28"/>
      <c r="F10" s="28"/>
      <c r="G10" s="28"/>
      <c r="H10" s="28"/>
      <c r="I10" s="29"/>
      <c r="J10" s="1" t="s">
        <v>144</v>
      </c>
      <c r="K10" s="1"/>
      <c r="L10" s="1"/>
      <c r="M10" s="1"/>
      <c r="N10" s="1"/>
      <c r="O10" s="1"/>
      <c r="P10" s="1"/>
      <c r="Q10" s="1"/>
    </row>
    <row r="11" spans="1:17" ht="15" customHeight="1">
      <c r="A11" s="27"/>
      <c r="B11" s="28"/>
      <c r="C11" s="28"/>
      <c r="D11" s="28"/>
      <c r="E11" s="28"/>
      <c r="F11" s="28"/>
      <c r="G11" s="28"/>
      <c r="H11" s="28"/>
      <c r="I11" s="29"/>
      <c r="J11" s="1" t="s">
        <v>145</v>
      </c>
      <c r="K11" s="1"/>
      <c r="L11" s="1"/>
      <c r="M11" s="1"/>
      <c r="N11" s="1"/>
      <c r="O11" s="1"/>
      <c r="P11" s="1"/>
      <c r="Q11" s="1"/>
    </row>
    <row r="12" spans="1:17" ht="15" customHeight="1">
      <c r="A12" s="27"/>
      <c r="B12" s="28"/>
      <c r="C12" s="28"/>
      <c r="D12" s="28"/>
      <c r="E12" s="28"/>
      <c r="F12" s="28"/>
      <c r="G12" s="28"/>
      <c r="H12" s="28"/>
      <c r="I12" s="29"/>
      <c r="J12" s="1" t="s">
        <v>147</v>
      </c>
      <c r="K12" s="1"/>
      <c r="L12" s="1"/>
      <c r="M12" s="1"/>
      <c r="N12" s="1"/>
      <c r="O12" s="1"/>
      <c r="P12" s="1"/>
      <c r="Q12" s="1"/>
    </row>
    <row r="13" spans="1:17" ht="15" customHeight="1">
      <c r="A13" s="27"/>
      <c r="B13" s="28"/>
      <c r="C13" s="28"/>
      <c r="D13" s="28"/>
      <c r="E13" s="28"/>
      <c r="F13" s="28"/>
      <c r="G13" s="28"/>
      <c r="H13" s="28"/>
      <c r="I13" s="29"/>
      <c r="J13" s="1" t="s">
        <v>146</v>
      </c>
      <c r="K13" s="1"/>
      <c r="L13" s="1"/>
      <c r="M13" s="1"/>
      <c r="N13" s="1"/>
      <c r="O13" s="1"/>
      <c r="P13" s="1"/>
      <c r="Q13" s="1"/>
    </row>
    <row r="14" spans="1:17" ht="15" customHeight="1">
      <c r="A14" s="27"/>
      <c r="B14" s="28"/>
      <c r="C14" s="28"/>
      <c r="D14" s="28"/>
      <c r="E14" s="28"/>
      <c r="F14" s="28"/>
      <c r="G14" s="28"/>
      <c r="H14" s="28"/>
      <c r="I14" s="29"/>
      <c r="J14" s="127" t="s">
        <v>218</v>
      </c>
      <c r="K14" s="1"/>
      <c r="L14" s="1"/>
      <c r="M14" s="1"/>
      <c r="N14" s="1"/>
      <c r="O14" s="1"/>
      <c r="P14" s="1"/>
      <c r="Q14" s="1"/>
    </row>
    <row r="15" spans="1:17" ht="15" customHeight="1">
      <c r="A15" s="27"/>
      <c r="B15" s="28"/>
      <c r="C15" s="28"/>
      <c r="D15" s="28"/>
      <c r="E15" s="28"/>
      <c r="F15" s="28"/>
      <c r="G15" s="28"/>
      <c r="H15" s="28"/>
      <c r="I15" s="29"/>
      <c r="J15" s="126" t="s">
        <v>219</v>
      </c>
      <c r="K15" s="1"/>
      <c r="L15" s="1"/>
      <c r="M15" s="1"/>
      <c r="N15" s="1"/>
      <c r="O15" s="1"/>
      <c r="P15" s="1"/>
      <c r="Q15" s="1"/>
    </row>
    <row r="16" spans="1:17" ht="15" customHeight="1">
      <c r="A16" s="13" t="s">
        <v>92</v>
      </c>
      <c r="B16" s="12" t="s">
        <v>99</v>
      </c>
      <c r="C16" s="12" t="s">
        <v>81</v>
      </c>
      <c r="D16" s="2" t="s">
        <v>130</v>
      </c>
      <c r="E16" s="18">
        <v>500</v>
      </c>
      <c r="F16" s="18">
        <v>4000</v>
      </c>
      <c r="G16" s="55"/>
      <c r="H16" s="84" t="s">
        <v>217</v>
      </c>
      <c r="I16" s="85"/>
      <c r="J16" s="128" t="s">
        <v>220</v>
      </c>
      <c r="M16" s="1"/>
      <c r="N16" s="1"/>
      <c r="O16" s="1"/>
      <c r="P16" s="1"/>
      <c r="Q16" s="1"/>
    </row>
    <row r="17" spans="1:17" ht="15" customHeight="1">
      <c r="A17" s="39" t="s">
        <v>93</v>
      </c>
      <c r="B17" s="12" t="s">
        <v>100</v>
      </c>
      <c r="C17" s="13"/>
      <c r="D17" s="2" t="s">
        <v>128</v>
      </c>
      <c r="E17" s="23">
        <v>-3.0102999566398125</v>
      </c>
      <c r="F17" s="36"/>
      <c r="G17" s="56"/>
      <c r="H17" s="43" t="s">
        <v>113</v>
      </c>
      <c r="I17" s="44"/>
      <c r="J17" s="126" t="s">
        <v>221</v>
      </c>
      <c r="K17" s="1"/>
      <c r="L17" s="1"/>
      <c r="M17" s="1"/>
      <c r="N17" s="1"/>
      <c r="O17" s="1"/>
      <c r="P17" s="1"/>
      <c r="Q17" s="1"/>
    </row>
    <row r="18" spans="1:17" ht="15" customHeight="1">
      <c r="A18" s="93" t="s">
        <v>94</v>
      </c>
      <c r="B18" s="12" t="s">
        <v>175</v>
      </c>
      <c r="C18" s="2" t="s">
        <v>131</v>
      </c>
      <c r="D18" s="3">
        <f>1.5*$I$21*10^3/(2*PI()*E$16)</f>
        <v>2.8647889756541165</v>
      </c>
      <c r="E18" s="3">
        <f>0.5*$I$21*10^3/(2*PI()*E$16)</f>
        <v>0.9549296585513721</v>
      </c>
      <c r="F18" s="3">
        <f>1/(G19*10^(-6)*(2*PI()*(E16*F16)^0.5)^2)*10^3</f>
        <v>1.2533451768486756</v>
      </c>
      <c r="G18" s="3">
        <f>1.5*$I$21*10^3/(2*PI()*(F16-E16))</f>
        <v>0.40925556795058804</v>
      </c>
      <c r="H18" s="3">
        <f>0.5*$I$21*10^3/(2*PI()*(F16-E16))</f>
        <v>0.13641852265019602</v>
      </c>
      <c r="I18" s="3">
        <f>0.75*$I$21*10^3/(2*PI()*F$16)</f>
        <v>0.17904931097838228</v>
      </c>
      <c r="J18" s="126" t="s">
        <v>222</v>
      </c>
      <c r="K18" s="1"/>
      <c r="L18" s="1"/>
      <c r="M18" s="1"/>
      <c r="N18" s="1"/>
      <c r="O18" s="1"/>
      <c r="P18" s="1"/>
      <c r="Q18" s="1"/>
    </row>
    <row r="19" spans="1:17" ht="15" customHeight="1">
      <c r="A19" s="94"/>
      <c r="B19" s="12" t="s">
        <v>174</v>
      </c>
      <c r="C19" s="67" t="s">
        <v>132</v>
      </c>
      <c r="D19" s="3">
        <f>4/3*10^6/(2*PI()*E$16*$I$21)</f>
        <v>70.73553026306459</v>
      </c>
      <c r="E19" s="3">
        <f>1/(G18/10^3*(2*PI()*(E16*F16)^0.5)^2)*10^6</f>
        <v>30.946794490090753</v>
      </c>
      <c r="F19" s="3">
        <f>1/(H18*10^(-3)*(2*PI()*(E16*F16)^0.5)^2)*10^6</f>
        <v>92.84038347027226</v>
      </c>
      <c r="G19" s="3">
        <f>4/3*10^6/(2*PI()*(F16-E16)*$I$21)</f>
        <v>10.105075751866371</v>
      </c>
      <c r="H19" s="3">
        <f>2/3*10^6/(2*PI()*F$16*$I$21)</f>
        <v>4.420970641441537</v>
      </c>
      <c r="I19" s="3">
        <f>2*10^6/(2*PI()*F$16*$I$21)</f>
        <v>13.262911924324612</v>
      </c>
      <c r="J19" s="126" t="s">
        <v>223</v>
      </c>
      <c r="K19" s="1"/>
      <c r="L19" s="1"/>
      <c r="M19" s="1"/>
      <c r="N19" s="1"/>
      <c r="O19" s="1"/>
      <c r="P19" s="1"/>
      <c r="Q19" s="1"/>
    </row>
    <row r="20" spans="1:17" ht="12" customHeight="1">
      <c r="A20" s="33" t="s">
        <v>95</v>
      </c>
      <c r="B20" s="91" t="s">
        <v>103</v>
      </c>
      <c r="C20" s="92"/>
      <c r="D20" s="33" t="s">
        <v>111</v>
      </c>
      <c r="E20" s="2" t="s">
        <v>148</v>
      </c>
      <c r="F20" s="2" t="s">
        <v>151</v>
      </c>
      <c r="G20" s="2" t="s">
        <v>155</v>
      </c>
      <c r="H20" s="23"/>
      <c r="I20" s="2" t="s">
        <v>152</v>
      </c>
      <c r="J20" s="126" t="s">
        <v>224</v>
      </c>
      <c r="K20" s="1"/>
      <c r="L20" s="1"/>
      <c r="M20" s="1"/>
      <c r="N20" s="1"/>
      <c r="O20" s="1"/>
      <c r="P20" s="1"/>
      <c r="Q20" s="1"/>
    </row>
    <row r="21" spans="1:17" ht="12" customHeight="1">
      <c r="A21" s="13" t="s">
        <v>96</v>
      </c>
      <c r="B21" s="16" t="s">
        <v>182</v>
      </c>
      <c r="C21" s="17" t="s">
        <v>75</v>
      </c>
      <c r="D21" s="2" t="s">
        <v>127</v>
      </c>
      <c r="E21" s="46">
        <v>6</v>
      </c>
      <c r="F21" s="46">
        <v>6</v>
      </c>
      <c r="G21" s="46">
        <v>6</v>
      </c>
      <c r="H21" s="14"/>
      <c r="I21" s="19">
        <v>6</v>
      </c>
      <c r="J21" s="126" t="s">
        <v>225</v>
      </c>
      <c r="K21" s="1"/>
      <c r="L21" s="1"/>
      <c r="M21" s="1"/>
      <c r="N21" s="1"/>
      <c r="O21" s="1"/>
      <c r="P21" s="1"/>
      <c r="Q21" s="1"/>
    </row>
    <row r="22" spans="1:17" ht="12" customHeight="1">
      <c r="A22" s="12" t="s">
        <v>97</v>
      </c>
      <c r="B22" s="16" t="s">
        <v>182</v>
      </c>
      <c r="C22" s="13" t="s">
        <v>86</v>
      </c>
      <c r="D22" s="2" t="s">
        <v>133</v>
      </c>
      <c r="E22" s="46">
        <v>91</v>
      </c>
      <c r="F22" s="46">
        <v>91</v>
      </c>
      <c r="G22" s="46">
        <v>91</v>
      </c>
      <c r="H22" s="14"/>
      <c r="I22" s="8">
        <v>91</v>
      </c>
      <c r="J22" s="1"/>
      <c r="K22" s="1"/>
      <c r="L22" s="1"/>
      <c r="M22" s="1"/>
      <c r="N22" s="1"/>
      <c r="O22" s="1"/>
      <c r="P22" s="1"/>
      <c r="Q22" s="1"/>
    </row>
    <row r="23" spans="1:17" ht="12" customHeight="1">
      <c r="A23" s="95" t="s">
        <v>98</v>
      </c>
      <c r="B23" s="12" t="s">
        <v>107</v>
      </c>
      <c r="C23" s="13" t="s">
        <v>87</v>
      </c>
      <c r="D23" s="2" t="s">
        <v>134</v>
      </c>
      <c r="E23" s="8">
        <v>6</v>
      </c>
      <c r="F23" s="8">
        <v>6</v>
      </c>
      <c r="G23" s="8">
        <v>6</v>
      </c>
      <c r="H23" s="23"/>
      <c r="I23" s="23"/>
      <c r="J23" s="1"/>
      <c r="K23" s="1"/>
      <c r="L23" s="1"/>
      <c r="M23" s="1"/>
      <c r="N23" s="1"/>
      <c r="O23" s="1"/>
      <c r="P23" s="1"/>
      <c r="Q23" s="1"/>
    </row>
    <row r="24" spans="1:17" ht="12" customHeight="1">
      <c r="A24" s="96"/>
      <c r="B24" s="12" t="s">
        <v>104</v>
      </c>
      <c r="C24" s="13" t="s">
        <v>85</v>
      </c>
      <c r="D24" s="2" t="s">
        <v>133</v>
      </c>
      <c r="E24" s="8">
        <v>91</v>
      </c>
      <c r="F24" s="8">
        <v>91</v>
      </c>
      <c r="G24" s="8">
        <v>91</v>
      </c>
      <c r="H24" s="14"/>
      <c r="I24" s="14"/>
      <c r="J24" s="1"/>
      <c r="K24" s="1"/>
      <c r="L24" s="1"/>
      <c r="M24" s="1"/>
      <c r="N24" s="1"/>
      <c r="O24" s="1"/>
      <c r="P24" s="1"/>
      <c r="Q24" s="1"/>
    </row>
    <row r="25" spans="1:17" ht="12" customHeight="1">
      <c r="A25" s="96"/>
      <c r="B25" s="12" t="s">
        <v>105</v>
      </c>
      <c r="C25" s="13" t="s">
        <v>12</v>
      </c>
      <c r="D25" s="2"/>
      <c r="E25" s="9">
        <v>1</v>
      </c>
      <c r="F25" s="9">
        <v>1</v>
      </c>
      <c r="G25" s="9">
        <v>1</v>
      </c>
      <c r="H25" s="14"/>
      <c r="I25" s="14"/>
      <c r="J25" s="1"/>
      <c r="K25" s="1"/>
      <c r="L25" s="1"/>
      <c r="M25" s="1"/>
      <c r="N25" s="1"/>
      <c r="O25" s="1"/>
      <c r="P25" s="1"/>
      <c r="Q25" s="1"/>
    </row>
    <row r="26" spans="1:17" ht="12" customHeight="1">
      <c r="A26" s="96"/>
      <c r="B26" s="12" t="s">
        <v>106</v>
      </c>
      <c r="C26" s="13" t="s">
        <v>153</v>
      </c>
      <c r="D26" s="2" t="s">
        <v>134</v>
      </c>
      <c r="E26" s="14" t="str">
        <f>IF(E$21*E$22*E$23*E$24=0,"",IF(E$25=0,"",IF(E$22&gt;E$24+10*LOG(E$21/E$23),"Unable",IF(E$23/(10^((E$22-E$24-10*LOG(E$21/E$23))/20))-E$21=0,"Blank",IF(E$25=0,"",E$21*E$23/ABS(E$23/(10^((E$22-E$24-10*LOG(E$21/E$23))/20))-E$21))))))</f>
        <v>Blank</v>
      </c>
      <c r="F26" s="14" t="str">
        <f>IF(F$21*F$22*F$23*F$24=0,"",IF(F$25=0,"",IF(F$22&gt;F$24+10*LOG(F$21/F$23),"Unable",IF(F$23/(10^((F$22-F$24-10*LOG(F$21/F$23))/20))-F$21=0,"Blank",IF(F$25=0,"",F$21*F$23/ABS(F$23/(10^((F$22-F$24-10*LOG(F$21/F$23))/20))-F$21))))))</f>
        <v>Blank</v>
      </c>
      <c r="G26" s="14" t="str">
        <f>IF(G$21*G$22*G$23*G$24=0,"",IF(G$25=0,"",IF(G$22&gt;G$24+10*LOG(G$21/G$23),"Unable",IF(G$23/(10^((G$22-G$24-10*LOG(G$21/G$23))/20))-G$21=0,"Blank",IF(G$25=0,"",G$21*G$23/ABS(G$23/(10^((G$22-G$24-10*LOG(G$21/G$23))/20))-G$21))))))</f>
        <v>Blank</v>
      </c>
      <c r="H26" s="23"/>
      <c r="I26" s="23"/>
      <c r="J26" s="1"/>
      <c r="K26" s="1"/>
      <c r="L26" s="1"/>
      <c r="M26" s="1"/>
      <c r="N26" s="1"/>
      <c r="O26" s="1"/>
      <c r="P26" s="1"/>
      <c r="Q26" s="1"/>
    </row>
    <row r="27" spans="1:17" ht="12" customHeight="1">
      <c r="A27" s="96"/>
      <c r="B27" s="12" t="s">
        <v>108</v>
      </c>
      <c r="C27" s="13" t="s">
        <v>154</v>
      </c>
      <c r="D27" s="2" t="s">
        <v>134</v>
      </c>
      <c r="E27" s="14">
        <f>IF(E$21*E$22*E$23*E$24=0,"",IF(E$25=0,"",IF(E$24+E$30&lt;E$22,"Unable",IF(E$26="Unable","Unable",IF(E$26="Blank",E$21-E$23,E$21-E$26*E$23/(E$26+E$23))))))</f>
        <v>0</v>
      </c>
      <c r="F27" s="14">
        <f>IF(F$21*F$22*F$23*F$24=0,"",IF(F$25=0,"",IF(F$24+F$30&lt;F$22,"Unable",IF(F$26="Unable","Unable",IF(F$26="Blank",F$21-F$23,F$21-F$26*F$23/(F$26+F$23))))))</f>
        <v>0</v>
      </c>
      <c r="G27" s="14">
        <f>IF(G$21*G$22*G$23*G$24=0,"",IF(G$25=0,"",IF(G$24+G$30&lt;G$22,"Unable",IF(G$26="Unable","Unable",IF(G$26="Blank",G$21-G$23,G$21-G$26*G$23/(G$26+G$23))))))</f>
        <v>0</v>
      </c>
      <c r="H27" s="14"/>
      <c r="I27" s="14"/>
      <c r="J27" s="1"/>
      <c r="K27" s="1"/>
      <c r="L27" s="1"/>
      <c r="M27" s="1"/>
      <c r="N27" s="1"/>
      <c r="O27" s="1"/>
      <c r="P27" s="1"/>
      <c r="Q27" s="1"/>
    </row>
    <row r="28" spans="1:17" ht="12" customHeight="1">
      <c r="A28" s="96"/>
      <c r="B28" s="12" t="s">
        <v>109</v>
      </c>
      <c r="C28" s="22" t="s">
        <v>76</v>
      </c>
      <c r="D28" s="2" t="s">
        <v>134</v>
      </c>
      <c r="E28" s="23">
        <f>IF(E$21*E$22*E$23*E$24=0,"",IF(E$25=1,E$21,E$23))</f>
        <v>6</v>
      </c>
      <c r="F28" s="23">
        <f>IF(F$21*F$22*F$23*F$24=0,"",IF(F$25=1,F$21,F$23))</f>
        <v>6</v>
      </c>
      <c r="G28" s="23">
        <f>IF(G$21*G$22*G$23*G$24=0,"",IF(G$25=1,G$21,G$23))</f>
        <v>6</v>
      </c>
      <c r="H28" s="14"/>
      <c r="I28" s="14"/>
      <c r="J28" s="1"/>
      <c r="K28" s="1"/>
      <c r="L28" s="1"/>
      <c r="M28" s="1"/>
      <c r="N28" s="1"/>
      <c r="O28" s="1"/>
      <c r="P28" s="1"/>
      <c r="Q28" s="1"/>
    </row>
    <row r="29" spans="1:17" ht="12" customHeight="1">
      <c r="A29" s="96"/>
      <c r="B29" s="12" t="s">
        <v>110</v>
      </c>
      <c r="C29" s="13" t="s">
        <v>77</v>
      </c>
      <c r="D29" s="2" t="s">
        <v>112</v>
      </c>
      <c r="E29" s="14">
        <f>IF(E$21*E$22*E$23*E$24=0,"",10^(E$30/20))</f>
        <v>1</v>
      </c>
      <c r="F29" s="14">
        <f>IF(F$21*F$22*F$23*F$24=0,"",10^(F$30/20))</f>
        <v>1</v>
      </c>
      <c r="G29" s="14">
        <f>IF(G$21*G$22*G$23*G$24=0,"",10^(G$30/20))</f>
        <v>1</v>
      </c>
      <c r="H29" s="14"/>
      <c r="I29" s="14"/>
      <c r="J29" s="73" t="s">
        <v>210</v>
      </c>
      <c r="K29" s="74"/>
      <c r="L29" s="74"/>
      <c r="M29" s="75"/>
      <c r="N29" s="76"/>
      <c r="O29" s="1"/>
      <c r="P29" s="1"/>
      <c r="Q29" s="1"/>
    </row>
    <row r="30" spans="1:17" ht="12" customHeight="1">
      <c r="A30" s="97"/>
      <c r="B30" s="12" t="s">
        <v>110</v>
      </c>
      <c r="C30" s="13" t="s">
        <v>77</v>
      </c>
      <c r="D30" s="2" t="s">
        <v>125</v>
      </c>
      <c r="E30" s="14">
        <f>IF(E$21*E$22*E$23*E$24=0,"",IF(E$25=1,0,E$24-E$22+10*LOG(E$21/E$23)))</f>
        <v>0</v>
      </c>
      <c r="F30" s="14">
        <f>IF(F$21*F$22*F$23*F$24=0,"",IF(F$25=1,0,F$24-F$22+10*LOG(F$21/F$23)))</f>
        <v>0</v>
      </c>
      <c r="G30" s="14">
        <f>IF(G$21*G$22*G$23*G$24=0,"",IF(G$25=1,0,G$24-G$22+10*LOG(G$21/G$23)))</f>
        <v>0</v>
      </c>
      <c r="H30" s="14"/>
      <c r="I30" s="14"/>
      <c r="J30" s="2" t="s">
        <v>211</v>
      </c>
      <c r="K30" s="2" t="s">
        <v>212</v>
      </c>
      <c r="L30" s="2" t="s">
        <v>213</v>
      </c>
      <c r="M30" s="2" t="s">
        <v>214</v>
      </c>
      <c r="N30" s="77"/>
      <c r="O30" s="1"/>
      <c r="P30" s="1"/>
      <c r="Q30" s="1"/>
    </row>
    <row r="31" spans="1:14" ht="12" customHeight="1">
      <c r="A31" s="81" t="s">
        <v>114</v>
      </c>
      <c r="B31" s="4">
        <v>20</v>
      </c>
      <c r="C31" s="5" t="s">
        <v>82</v>
      </c>
      <c r="D31" s="37" t="s">
        <v>83</v>
      </c>
      <c r="E31" s="3">
        <f>6/(I163^2+I185^2)^0.5/$I$21</f>
        <v>6.000000013516401</v>
      </c>
      <c r="F31" s="6"/>
      <c r="G31" s="3"/>
      <c r="H31" s="58" t="s">
        <v>161</v>
      </c>
      <c r="I31" s="3">
        <f>10*LOG((10^((IF($H$17=0,0,E207)+E$22-$I$22+E$30+20*LOG((((E97*D119)*(D97*D119-D97*E97+E97*D119)-E$28^2*D119*(D97-D119))^2+(E$28*D97*D119^2)^2)^0.5/((D97*D119-D97*E97+E97*D119)^2+E$28^2*(D97-D119)^2)*E$28/(E$28^2+E97^2)^0.5))/20))^2+(10^((IF($H$17=0,0,F207)+F$22-$I$22+F$30+20*LOG(((F141*G141*(E141*G141+E141*F141+F141*G141)+F$28^2*G141*(E141+G141))^2+(F$28*E141*G141^2)^2)^0.5/((E141*G141+E141*F141+F141*G141)^2+E$28^2*(E141+G141)^2)*F$28/(F$28^2+F141^2)^0.5))/20))^2+(10^((IF($H$17=0,0,G207)+G$22-$I$22+G$30+20*LOG(((I97*I119*(I97*I119+I97*H119-H119*I119)+G$28^2*I97*(I97-H119))^2+(G$28*I97^2*H119)^2)^0.5/((I97*H119+I97*I119-H119*I119)^2+G$28^2*(I97-H119)^2)*G$28/(G$28^2+I119^2)^0.5))/20))^2)+$L31</f>
        <v>-9.79556078793423E-09</v>
      </c>
      <c r="J31" s="71"/>
      <c r="K31" s="71"/>
      <c r="L31" s="71"/>
      <c r="M31" s="72">
        <v>0</v>
      </c>
      <c r="N31" s="78" t="s">
        <v>215</v>
      </c>
    </row>
    <row r="32" spans="1:14" ht="12" customHeight="1">
      <c r="A32" s="86"/>
      <c r="B32" s="4">
        <v>30</v>
      </c>
      <c r="C32" s="5" t="s">
        <v>82</v>
      </c>
      <c r="D32" s="37" t="s">
        <v>83</v>
      </c>
      <c r="E32" s="3">
        <f aca="true" t="shared" si="0" ref="E32:E52">6/(I164^2+I186^2)^0.5/$I$21</f>
        <v>6.000000153766636</v>
      </c>
      <c r="F32" s="6"/>
      <c r="G32" s="3"/>
      <c r="H32" s="3">
        <f>IF(ABS($I76-$I75)&gt;180,ABS(360-ABS($I76-$I75))/($B98-$B97),ABS($I76-$I75)/($B98-$B97))*10</f>
        <v>2.3006097158688803</v>
      </c>
      <c r="I32" s="3">
        <f aca="true" t="shared" si="1" ref="I32:I52">10*LOG((10^((IF($H$17=0,0,E208)+E$22-$I$22+E$30+20*LOG((((E98*D120)*(D98*D120-D98*E98+E98*D120)-E$28^2*D120*(D98-D120))^2+(E$28*D98*D120^2)^2)^0.5/((D98*D120-D98*E98+E98*D120)^2+E$28^2*(D98-D120)^2)*E$28/(E$28^2+E98^2)^0.5))/20))^2+(10^((IF($H$17=0,0,F208)+F$22-$I$22+F$30+20*LOG(((F142*G142*(E142*G142+E142*F142+F142*G142)+F$28^2*G142*(E142+G142))^2+(F$28*E142*G142^2)^2)^0.5/((E142*G142+E142*F142+F142*G142)^2+E$28^2*(E142+G142)^2)*F$28/(F$28^2+F142^2)^0.5))/20))^2+(10^((IF($H$17=0,0,G208)+G$22-$I$22+G$30+20*LOG(((I98*I120*(I98*I120+I98*H120-H120*I120)+G$28^2*I98*(I98-H120))^2+(G$28*I98^2*H120)^2)^0.5/((I98*H120+I98*I120-H120*I120)^2+G$28^2*(I98-H120)^2)*G$28/(G$28^2+I120^2)^0.5))/20))^2)+$L32</f>
        <v>-1.1144084067282058E-07</v>
      </c>
      <c r="J32" s="71"/>
      <c r="K32" s="71"/>
      <c r="L32" s="71"/>
      <c r="M32" s="72">
        <v>0</v>
      </c>
      <c r="N32" s="79"/>
    </row>
    <row r="33" spans="1:14" ht="12" customHeight="1">
      <c r="A33" s="86"/>
      <c r="B33" s="4">
        <v>40</v>
      </c>
      <c r="C33" s="5" t="s">
        <v>82</v>
      </c>
      <c r="D33" s="37" t="s">
        <v>83</v>
      </c>
      <c r="E33" s="3">
        <f t="shared" si="0"/>
        <v>6.000000862435409</v>
      </c>
      <c r="F33" s="6"/>
      <c r="G33" s="3"/>
      <c r="H33" s="3">
        <f aca="true" t="shared" si="2" ref="H33:H52">IF(ABS($I77-$I76)&gt;180,ABS(360-ABS($I77-$I76))/($B99-$B98),ABS($I77-$I76)/($B99-$B98))*10</f>
        <v>2.3089685442645758</v>
      </c>
      <c r="I33" s="3">
        <f t="shared" si="1"/>
        <v>-6.250698676673127E-07</v>
      </c>
      <c r="J33" s="71"/>
      <c r="K33" s="71"/>
      <c r="L33" s="71"/>
      <c r="M33" s="72">
        <v>0</v>
      </c>
      <c r="N33" s="79"/>
    </row>
    <row r="34" spans="1:14" ht="12" customHeight="1">
      <c r="A34" s="86"/>
      <c r="B34" s="4">
        <v>50</v>
      </c>
      <c r="C34" s="5" t="s">
        <v>82</v>
      </c>
      <c r="D34" s="37" t="s">
        <v>83</v>
      </c>
      <c r="E34" s="3">
        <f t="shared" si="0"/>
        <v>6.000003282421759</v>
      </c>
      <c r="F34" s="6"/>
      <c r="G34" s="3"/>
      <c r="H34" s="3">
        <f t="shared" si="2"/>
        <v>2.32017729978924</v>
      </c>
      <c r="I34" s="3">
        <f t="shared" si="1"/>
        <v>-2.3791497789736912E-06</v>
      </c>
      <c r="J34" s="71"/>
      <c r="K34" s="71"/>
      <c r="L34" s="71"/>
      <c r="M34" s="72">
        <v>0</v>
      </c>
      <c r="N34" s="79"/>
    </row>
    <row r="35" spans="1:14" ht="12" customHeight="1">
      <c r="A35" s="86"/>
      <c r="B35" s="4">
        <v>70</v>
      </c>
      <c r="C35" s="5" t="s">
        <v>82</v>
      </c>
      <c r="D35" s="37" t="s">
        <v>83</v>
      </c>
      <c r="E35" s="3">
        <f t="shared" si="0"/>
        <v>6.000024563411131</v>
      </c>
      <c r="F35" s="6"/>
      <c r="G35" s="3"/>
      <c r="H35" s="3">
        <f t="shared" si="2"/>
        <v>2.34283112087069</v>
      </c>
      <c r="I35" s="3">
        <f t="shared" si="1"/>
        <v>-1.7806711920246894E-05</v>
      </c>
      <c r="J35" s="71"/>
      <c r="K35" s="71"/>
      <c r="L35" s="71"/>
      <c r="M35" s="72">
        <v>0</v>
      </c>
      <c r="N35" s="79"/>
    </row>
    <row r="36" spans="1:14" ht="12" customHeight="1">
      <c r="A36" s="86"/>
      <c r="B36" s="4">
        <v>100</v>
      </c>
      <c r="C36" s="5" t="s">
        <v>82</v>
      </c>
      <c r="D36" s="37" t="s">
        <v>83</v>
      </c>
      <c r="E36" s="3">
        <f t="shared" si="0"/>
        <v>6.000206003405009</v>
      </c>
      <c r="F36" s="6"/>
      <c r="G36" s="3"/>
      <c r="H36" s="3">
        <f t="shared" si="2"/>
        <v>2.395851446740344</v>
      </c>
      <c r="I36" s="3">
        <f t="shared" si="1"/>
        <v>-0.00014938539149335665</v>
      </c>
      <c r="J36" s="71"/>
      <c r="K36" s="71"/>
      <c r="L36" s="71"/>
      <c r="M36" s="72">
        <v>0</v>
      </c>
      <c r="N36" s="79"/>
    </row>
    <row r="37" spans="1:14" ht="12" customHeight="1">
      <c r="A37" s="86"/>
      <c r="B37" s="4">
        <v>150</v>
      </c>
      <c r="C37" s="5" t="s">
        <v>82</v>
      </c>
      <c r="D37" s="37" t="s">
        <v>83</v>
      </c>
      <c r="E37" s="3">
        <f t="shared" si="0"/>
        <v>6.00226554562326</v>
      </c>
      <c r="F37" s="6"/>
      <c r="G37" s="3"/>
      <c r="H37" s="3">
        <f t="shared" si="2"/>
        <v>2.5250648469819907</v>
      </c>
      <c r="I37" s="3">
        <f t="shared" si="1"/>
        <v>-0.0016438399983587232</v>
      </c>
      <c r="J37" s="71"/>
      <c r="K37" s="71"/>
      <c r="L37" s="71"/>
      <c r="M37" s="72">
        <v>0</v>
      </c>
      <c r="N37" s="79"/>
    </row>
    <row r="38" spans="1:14" ht="12" customHeight="1">
      <c r="A38" s="82" t="s">
        <v>167</v>
      </c>
      <c r="B38" s="4">
        <v>200</v>
      </c>
      <c r="C38" s="5" t="s">
        <v>82</v>
      </c>
      <c r="D38" s="37" t="s">
        <v>83</v>
      </c>
      <c r="E38" s="3">
        <f t="shared" si="0"/>
        <v>6.012035001441901</v>
      </c>
      <c r="F38" s="6"/>
      <c r="G38" s="3"/>
      <c r="H38" s="3">
        <f t="shared" si="2"/>
        <v>2.768551572266649</v>
      </c>
      <c r="I38" s="3">
        <f t="shared" si="1"/>
        <v>-0.008731192916030524</v>
      </c>
      <c r="J38" s="71"/>
      <c r="K38" s="71"/>
      <c r="L38" s="71"/>
      <c r="M38" s="72">
        <v>0</v>
      </c>
      <c r="N38" s="79"/>
    </row>
    <row r="39" spans="1:14" ht="12" customHeight="1">
      <c r="A39" s="86"/>
      <c r="B39" s="4">
        <v>300</v>
      </c>
      <c r="C39" s="5" t="s">
        <v>82</v>
      </c>
      <c r="D39" s="37" t="s">
        <v>83</v>
      </c>
      <c r="E39" s="3">
        <f t="shared" si="0"/>
        <v>6.108046092897726</v>
      </c>
      <c r="F39" s="6"/>
      <c r="G39" s="3"/>
      <c r="H39" s="3">
        <f t="shared" si="2"/>
        <v>3.3522882873631463</v>
      </c>
      <c r="I39" s="3">
        <f t="shared" si="1"/>
        <v>-0.07762831406226493</v>
      </c>
      <c r="J39" s="71"/>
      <c r="K39" s="71"/>
      <c r="L39" s="71"/>
      <c r="M39" s="72">
        <v>0</v>
      </c>
      <c r="N39" s="79"/>
    </row>
    <row r="40" spans="1:14" ht="12" customHeight="1">
      <c r="A40" s="86"/>
      <c r="B40" s="4">
        <v>400</v>
      </c>
      <c r="C40" s="5" t="s">
        <v>82</v>
      </c>
      <c r="D40" s="37" t="s">
        <v>83</v>
      </c>
      <c r="E40" s="3">
        <f t="shared" si="0"/>
        <v>6.281644907696383</v>
      </c>
      <c r="F40" s="6"/>
      <c r="G40" s="3"/>
      <c r="H40" s="3">
        <f t="shared" si="2"/>
        <v>4.427073682923101</v>
      </c>
      <c r="I40" s="3">
        <f t="shared" si="1"/>
        <v>-0.20086979126575177</v>
      </c>
      <c r="J40" s="71"/>
      <c r="K40" s="71"/>
      <c r="L40" s="71"/>
      <c r="M40" s="72">
        <v>0</v>
      </c>
      <c r="N40" s="79"/>
    </row>
    <row r="41" spans="1:14" ht="12" customHeight="1">
      <c r="A41" s="86"/>
      <c r="B41" s="4">
        <v>500</v>
      </c>
      <c r="C41" s="5" t="s">
        <v>82</v>
      </c>
      <c r="D41" s="37" t="s">
        <v>83</v>
      </c>
      <c r="E41" s="3">
        <f t="shared" si="0"/>
        <v>5.978918524364445</v>
      </c>
      <c r="F41" s="6"/>
      <c r="G41" s="3"/>
      <c r="H41" s="3">
        <f t="shared" si="2"/>
        <v>5.2239561387788305</v>
      </c>
      <c r="I41" s="3">
        <f t="shared" si="1"/>
        <v>1.6566924928033452E-05</v>
      </c>
      <c r="J41" s="71"/>
      <c r="K41" s="71"/>
      <c r="L41" s="71"/>
      <c r="M41" s="72">
        <v>0</v>
      </c>
      <c r="N41" s="79"/>
    </row>
    <row r="42" spans="1:14" ht="12" customHeight="1">
      <c r="A42" s="86"/>
      <c r="B42" s="4">
        <v>700</v>
      </c>
      <c r="C42" s="5" t="s">
        <v>15</v>
      </c>
      <c r="D42" s="37" t="s">
        <v>84</v>
      </c>
      <c r="E42" s="3">
        <f t="shared" si="0"/>
        <v>5.632181555797107</v>
      </c>
      <c r="F42" s="6"/>
      <c r="G42" s="3"/>
      <c r="H42" s="3">
        <f t="shared" si="2"/>
        <v>4.150651885083565</v>
      </c>
      <c r="I42" s="3">
        <f t="shared" si="1"/>
        <v>0.2747429937653785</v>
      </c>
      <c r="J42" s="71"/>
      <c r="K42" s="71"/>
      <c r="L42" s="71"/>
      <c r="M42" s="72">
        <v>0</v>
      </c>
      <c r="N42" s="79"/>
    </row>
    <row r="43" spans="1:14" ht="12" customHeight="1">
      <c r="A43" s="86"/>
      <c r="B43" s="4" t="s">
        <v>31</v>
      </c>
      <c r="C43" s="5" t="s">
        <v>15</v>
      </c>
      <c r="D43" s="37" t="s">
        <v>84</v>
      </c>
      <c r="E43" s="3">
        <f t="shared" si="0"/>
        <v>5.909921570574954</v>
      </c>
      <c r="F43" s="6"/>
      <c r="G43" s="3"/>
      <c r="H43" s="3">
        <f t="shared" si="2"/>
        <v>1.917775801388456</v>
      </c>
      <c r="I43" s="3">
        <f t="shared" si="1"/>
        <v>0.06502410711688084</v>
      </c>
      <c r="J43" s="71"/>
      <c r="K43" s="71"/>
      <c r="L43" s="71"/>
      <c r="M43" s="72">
        <v>0</v>
      </c>
      <c r="N43" s="79"/>
    </row>
    <row r="44" spans="1:14" ht="12" customHeight="1">
      <c r="A44" s="86"/>
      <c r="B44" s="4" t="s">
        <v>32</v>
      </c>
      <c r="C44" s="5" t="s">
        <v>15</v>
      </c>
      <c r="D44" s="37" t="s">
        <v>84</v>
      </c>
      <c r="E44" s="3">
        <f t="shared" si="0"/>
        <v>5.975217616128361</v>
      </c>
      <c r="F44" s="6"/>
      <c r="G44" s="3"/>
      <c r="H44" s="3">
        <f t="shared" si="2"/>
        <v>0.9183031434167672</v>
      </c>
      <c r="I44" s="3">
        <f t="shared" si="1"/>
        <v>0.017955882804885394</v>
      </c>
      <c r="J44" s="71"/>
      <c r="K44" s="71"/>
      <c r="L44" s="71"/>
      <c r="M44" s="72">
        <v>0</v>
      </c>
      <c r="N44" s="79"/>
    </row>
    <row r="45" spans="1:14" ht="12" customHeight="1">
      <c r="A45" s="86"/>
      <c r="B45" s="4" t="s">
        <v>33</v>
      </c>
      <c r="C45" s="5" t="s">
        <v>15</v>
      </c>
      <c r="D45" s="37" t="s">
        <v>84</v>
      </c>
      <c r="E45" s="3">
        <f t="shared" si="0"/>
        <v>5.909921570574952</v>
      </c>
      <c r="F45" s="6"/>
      <c r="G45" s="3"/>
      <c r="H45" s="3">
        <f t="shared" si="2"/>
        <v>0.6641776604643805</v>
      </c>
      <c r="I45" s="3">
        <f t="shared" si="1"/>
        <v>0.06502410711688084</v>
      </c>
      <c r="J45" s="71"/>
      <c r="K45" s="71"/>
      <c r="L45" s="71"/>
      <c r="M45" s="72">
        <v>0</v>
      </c>
      <c r="N45" s="79"/>
    </row>
    <row r="46" spans="1:14" ht="12" customHeight="1">
      <c r="A46" s="82" t="s">
        <v>115</v>
      </c>
      <c r="B46" s="4" t="s">
        <v>34</v>
      </c>
      <c r="C46" s="5" t="s">
        <v>15</v>
      </c>
      <c r="D46" s="37" t="s">
        <v>84</v>
      </c>
      <c r="E46" s="3">
        <f t="shared" si="0"/>
        <v>5.604836721653762</v>
      </c>
      <c r="F46" s="6"/>
      <c r="G46" s="3"/>
      <c r="H46" s="3">
        <f t="shared" si="2"/>
        <v>0.6796092188396119</v>
      </c>
      <c r="I46" s="3">
        <f t="shared" si="1"/>
        <v>0.29547454283499164</v>
      </c>
      <c r="J46" s="71"/>
      <c r="K46" s="71"/>
      <c r="L46" s="71"/>
      <c r="M46" s="72">
        <v>0</v>
      </c>
      <c r="N46" s="79"/>
    </row>
    <row r="47" spans="1:14" ht="12" customHeight="1">
      <c r="A47" s="86"/>
      <c r="B47" s="4" t="s">
        <v>35</v>
      </c>
      <c r="C47" s="5" t="s">
        <v>15</v>
      </c>
      <c r="D47" s="37" t="s">
        <v>84</v>
      </c>
      <c r="E47" s="3">
        <f t="shared" si="0"/>
        <v>5.978918524364445</v>
      </c>
      <c r="F47" s="6"/>
      <c r="G47" s="3"/>
      <c r="H47" s="3">
        <f t="shared" si="2"/>
        <v>0.7258547554856545</v>
      </c>
      <c r="I47" s="3">
        <f t="shared" si="1"/>
        <v>1.6566924928997776E-05</v>
      </c>
      <c r="J47" s="71"/>
      <c r="K47" s="71"/>
      <c r="L47" s="71"/>
      <c r="M47" s="72">
        <v>0</v>
      </c>
      <c r="N47" s="79"/>
    </row>
    <row r="48" spans="1:14" ht="12" customHeight="1">
      <c r="A48" s="86"/>
      <c r="B48" s="4" t="s">
        <v>36</v>
      </c>
      <c r="C48" s="5" t="s">
        <v>15</v>
      </c>
      <c r="D48" s="37" t="s">
        <v>84</v>
      </c>
      <c r="E48" s="3">
        <f t="shared" si="0"/>
        <v>6.281644907696381</v>
      </c>
      <c r="F48" s="6"/>
      <c r="G48" s="3"/>
      <c r="H48" s="3">
        <f t="shared" si="2"/>
        <v>0.522396076765024</v>
      </c>
      <c r="I48" s="3">
        <f t="shared" si="1"/>
        <v>-0.20086979126574772</v>
      </c>
      <c r="J48" s="71"/>
      <c r="K48" s="71"/>
      <c r="L48" s="71"/>
      <c r="M48" s="72">
        <v>0</v>
      </c>
      <c r="N48" s="79"/>
    </row>
    <row r="49" spans="1:14" ht="12" customHeight="1">
      <c r="A49" s="86"/>
      <c r="B49" s="4" t="s">
        <v>37</v>
      </c>
      <c r="C49" s="5" t="s">
        <v>15</v>
      </c>
      <c r="D49" s="37" t="s">
        <v>84</v>
      </c>
      <c r="E49" s="3">
        <f t="shared" si="0"/>
        <v>6.084856274635471</v>
      </c>
      <c r="F49" s="6"/>
      <c r="G49" s="3"/>
      <c r="H49" s="3">
        <f t="shared" si="2"/>
        <v>0.24829913977371845</v>
      </c>
      <c r="I49" s="3">
        <f t="shared" si="1"/>
        <v>-0.061120594010671554</v>
      </c>
      <c r="J49" s="71"/>
      <c r="K49" s="71"/>
      <c r="L49" s="71"/>
      <c r="M49" s="72">
        <v>0</v>
      </c>
      <c r="N49" s="79"/>
    </row>
    <row r="50" spans="1:14" ht="12" customHeight="1">
      <c r="A50" s="86"/>
      <c r="B50" s="4" t="s">
        <v>38</v>
      </c>
      <c r="C50" s="5" t="s">
        <v>15</v>
      </c>
      <c r="D50" s="37" t="s">
        <v>84</v>
      </c>
      <c r="E50" s="3">
        <f t="shared" si="0"/>
        <v>6.012035001441901</v>
      </c>
      <c r="F50" s="6"/>
      <c r="G50" s="3"/>
      <c r="H50" s="3">
        <f t="shared" si="2"/>
        <v>0.09377940115179785</v>
      </c>
      <c r="I50" s="3">
        <f t="shared" si="1"/>
        <v>-0.008731192916031975</v>
      </c>
      <c r="J50" s="71"/>
      <c r="K50" s="71"/>
      <c r="L50" s="71"/>
      <c r="M50" s="72">
        <v>0</v>
      </c>
      <c r="N50" s="79"/>
    </row>
    <row r="51" spans="1:14" ht="12" customHeight="1">
      <c r="A51" s="86"/>
      <c r="B51" s="4" t="s">
        <v>39</v>
      </c>
      <c r="C51" s="5" t="s">
        <v>15</v>
      </c>
      <c r="D51" s="37" t="s">
        <v>84</v>
      </c>
      <c r="E51" s="3">
        <f t="shared" si="0"/>
        <v>6.001132913079143</v>
      </c>
      <c r="F51" s="6"/>
      <c r="G51" s="3"/>
      <c r="H51" s="3">
        <f t="shared" si="2"/>
        <v>0.036323732527761006</v>
      </c>
      <c r="I51" s="3">
        <f t="shared" si="1"/>
        <v>-0.0008218794134192483</v>
      </c>
      <c r="J51" s="71"/>
      <c r="K51" s="71"/>
      <c r="L51" s="71"/>
      <c r="M51" s="72">
        <v>0</v>
      </c>
      <c r="N51" s="79"/>
    </row>
    <row r="52" spans="1:14" ht="12" customHeight="1">
      <c r="A52" s="87"/>
      <c r="B52" s="4" t="s">
        <v>40</v>
      </c>
      <c r="C52" s="5" t="s">
        <v>15</v>
      </c>
      <c r="D52" s="37" t="s">
        <v>84</v>
      </c>
      <c r="E52" s="3">
        <f t="shared" si="0"/>
        <v>6.000206003405009</v>
      </c>
      <c r="F52" s="6"/>
      <c r="G52" s="3"/>
      <c r="H52" s="3">
        <f t="shared" si="2"/>
        <v>0.016612433480259772</v>
      </c>
      <c r="I52" s="3">
        <f t="shared" si="1"/>
        <v>-0.00014938539149287448</v>
      </c>
      <c r="J52" s="71"/>
      <c r="K52" s="71"/>
      <c r="L52" s="71"/>
      <c r="M52" s="72">
        <v>0</v>
      </c>
      <c r="N52" s="80"/>
    </row>
    <row r="53" spans="1:14" ht="12" customHeight="1">
      <c r="A53" s="81" t="s">
        <v>116</v>
      </c>
      <c r="B53" s="4">
        <v>20</v>
      </c>
      <c r="C53" s="5" t="s">
        <v>15</v>
      </c>
      <c r="D53" s="2" t="s">
        <v>16</v>
      </c>
      <c r="E53" s="3">
        <f>IF($H$17=0,0,E207)+E$22-$I$22+E$30+20*LOG((((E97*D119)*(D97*D119-D97*E97+E97*D119)-E$28^2*D119*(D97-D119))^2+(E$28*D97*D119^2)^2)^0.5/((D97*D119-D97*E97+E97*D119)^2+E$28^2*(D97-D119)^2)*E$28/(E$28^2+E97^2)^0.5)+$J53</f>
        <v>-1.778870192589268E-08</v>
      </c>
      <c r="F53" s="14">
        <f>IF($H$17=0,0,F207)+F$22-$I$22+F$30+20*LOG(((F141*G141*(E141*G141+E141*F141+F141*G141)+F$28^2*G141*(E141+G141))^2+(F$28*E141*G141^2)^2)^0.5/((E141*G141+E141*F141+F141*G141)^2+E$28^2*(E141+G141)^2)*F$28/(F$28^2+F141^2)^0.5)+$K53</f>
        <v>-87.35070529197083</v>
      </c>
      <c r="G53" s="14">
        <f>IF($H$17=0,0,G207)+G$22-$I$22+G$30+20*LOG(((I97*I119*(I97*I119+I97*H119-H119*I119)+G$28^2*I97*(I97-H119))^2+(G$28*I97^2*H119)^2)^0.5/((I97*H119+I97*I119-H119*I119)^2+G$28^2*(I97-H119)^2)*G$28/(G$28^2+I119^2)^0.5)+$L53</f>
        <v>-138.06179973983893</v>
      </c>
      <c r="H53" s="14"/>
      <c r="I53" s="7">
        <f>20*LOG(((10^(E53/20)*COS(3.14159*E75/180)+10^(F53/20)*COS(3.14159*F75/180)+10^(G53/20)*COS(3.14159*G75/180))^2+(10^(E53/20)*SIN(3.14159*E75/180)+10^(F53/20)*SIN(3.14159*F75/180)+10^(G53/20)*SIN(3.14159*G75/180))^2)^0.5)+$M53</f>
        <v>3.789841125703902E-06</v>
      </c>
      <c r="J53" s="72">
        <v>0</v>
      </c>
      <c r="K53" s="72">
        <v>0</v>
      </c>
      <c r="L53" s="72">
        <v>0</v>
      </c>
      <c r="M53" s="72">
        <v>0</v>
      </c>
      <c r="N53" s="78" t="s">
        <v>216</v>
      </c>
    </row>
    <row r="54" spans="1:14" ht="12" customHeight="1">
      <c r="A54" s="82"/>
      <c r="B54" s="4">
        <v>30</v>
      </c>
      <c r="C54" s="5" t="s">
        <v>15</v>
      </c>
      <c r="D54" s="2" t="s">
        <v>16</v>
      </c>
      <c r="E54" s="3">
        <f aca="true" t="shared" si="3" ref="E54:E74">IF($H$17=0,0,E208)+E$22-$I$22+E$30+20*LOG((((E98*D120)*(D98*D120-D98*E98+E98*D120)-E$28^2*D120*(D98-D120))^2+(E$28*D98*D120^2)^2)^0.5/((D98*D120-D98*E98+E98*D120)^2+E$28^2*(D98-D120)^2)*E$28/(E$28^2+E98^2)^0.5)+$J54</f>
        <v>-2.0262442888295754E-07</v>
      </c>
      <c r="F54" s="14">
        <f aca="true" t="shared" si="4" ref="F54:F74">IF($H$17=0,0,F208)+F$22-$I$22+F$30+20*LOG(((F142*G142*(E142*G142+E142*F142+F142*G142)+F$28^2*G142*(E142+G142))^2+(F$28*E142*G142^2)^2)^0.5/((E142*G142+E142*F142+F142*G142)^2+E$28^2*(E142+G142)^2)*F$28/(F$28^2+F142^2)^0.5)+$K54</f>
        <v>-76.77871329668326</v>
      </c>
      <c r="G54" s="14">
        <f aca="true" t="shared" si="5" ref="G54:G74">IF($H$17=0,0,G208)+G$22-$I$22+G$30+20*LOG(((I98*I120*(I98*I120+I98*H120-H120*I120)+G$28^2*I98*(I98-H120))^2+(G$28*I98^2*H120)^2)^0.5/((I98*H120+I98*I120-H120*I120)^2+G$28^2*(I98-H120)^2)*G$28/(G$28^2+I120^2)^0.5)+$L54</f>
        <v>-127.49632419649878</v>
      </c>
      <c r="H54" s="14"/>
      <c r="I54" s="7">
        <f aca="true" t="shared" si="6" ref="I54:I74">20*LOG(((10^(E54/20)*COS(3.14159*E76/180)+10^(F54/20)*COS(3.14159*F76/180)+10^(G54/20)*COS(3.14159*G76/180))^2+(10^(E54/20)*SIN(3.14159*E76/180)+10^(F54/20)*SIN(3.14159*F76/180)+10^(G54/20)*SIN(3.14159*G76/180))^2)^0.5)+$M54</f>
        <v>1.9121641561433816E-05</v>
      </c>
      <c r="J54" s="72">
        <v>0</v>
      </c>
      <c r="K54" s="72">
        <v>0</v>
      </c>
      <c r="L54" s="72">
        <v>0</v>
      </c>
      <c r="M54" s="72">
        <v>0</v>
      </c>
      <c r="N54" s="79"/>
    </row>
    <row r="55" spans="1:14" ht="12" customHeight="1">
      <c r="A55" s="82"/>
      <c r="B55" s="4">
        <v>40</v>
      </c>
      <c r="C55" s="5" t="s">
        <v>15</v>
      </c>
      <c r="D55" s="2" t="s">
        <v>16</v>
      </c>
      <c r="E55" s="3">
        <f t="shared" si="3"/>
        <v>-1.138476778764525E-06</v>
      </c>
      <c r="F55" s="14">
        <f t="shared" si="4"/>
        <v>-69.27326363451184</v>
      </c>
      <c r="G55" s="14">
        <f t="shared" si="5"/>
        <v>-120.00000000000433</v>
      </c>
      <c r="H55" s="14"/>
      <c r="I55" s="7">
        <f t="shared" si="6"/>
        <v>6.0149602834594055E-05</v>
      </c>
      <c r="J55" s="72">
        <v>0</v>
      </c>
      <c r="K55" s="72">
        <v>0</v>
      </c>
      <c r="L55" s="72">
        <v>0</v>
      </c>
      <c r="M55" s="72">
        <v>0</v>
      </c>
      <c r="N55" s="79"/>
    </row>
    <row r="56" spans="1:14" ht="12" customHeight="1">
      <c r="A56" s="82"/>
      <c r="B56" s="4">
        <v>50</v>
      </c>
      <c r="C56" s="5" t="s">
        <v>15</v>
      </c>
      <c r="D56" s="2" t="s">
        <v>16</v>
      </c>
      <c r="E56" s="3">
        <f t="shared" si="3"/>
        <v>-4.342942649804978E-06</v>
      </c>
      <c r="F56" s="14">
        <f t="shared" si="4"/>
        <v>-63.44692632175931</v>
      </c>
      <c r="G56" s="14">
        <f t="shared" si="5"/>
        <v>-114.18539921953318</v>
      </c>
      <c r="H56" s="14"/>
      <c r="I56" s="7">
        <f t="shared" si="6"/>
        <v>0.0001459610475115866</v>
      </c>
      <c r="J56" s="72">
        <v>0</v>
      </c>
      <c r="K56" s="72">
        <v>0</v>
      </c>
      <c r="L56" s="72">
        <v>0</v>
      </c>
      <c r="M56" s="72">
        <v>0</v>
      </c>
      <c r="N56" s="79"/>
    </row>
    <row r="57" spans="1:14" ht="12" customHeight="1">
      <c r="A57" s="82"/>
      <c r="B57" s="4">
        <v>70</v>
      </c>
      <c r="C57" s="5" t="s">
        <v>15</v>
      </c>
      <c r="D57" s="2" t="s">
        <v>16</v>
      </c>
      <c r="E57" s="3">
        <f t="shared" si="3"/>
        <v>-3.2700236251245884E-05</v>
      </c>
      <c r="F57" s="14">
        <f t="shared" si="4"/>
        <v>-54.647929948915895</v>
      </c>
      <c r="G57" s="14">
        <f t="shared" si="5"/>
        <v>-105.41771707894708</v>
      </c>
      <c r="H57" s="14"/>
      <c r="I57" s="7">
        <f t="shared" si="6"/>
        <v>0.0005516967203953822</v>
      </c>
      <c r="J57" s="72">
        <v>0</v>
      </c>
      <c r="K57" s="72">
        <v>0</v>
      </c>
      <c r="L57" s="72">
        <v>0</v>
      </c>
      <c r="M57" s="72">
        <v>0</v>
      </c>
      <c r="N57" s="79"/>
    </row>
    <row r="58" spans="1:14" ht="12" customHeight="1">
      <c r="A58" s="82"/>
      <c r="B58" s="4">
        <v>100</v>
      </c>
      <c r="C58" s="5" t="s">
        <v>15</v>
      </c>
      <c r="D58" s="2" t="s">
        <v>16</v>
      </c>
      <c r="E58" s="3">
        <f t="shared" si="3"/>
        <v>-0.00027793957444609827</v>
      </c>
      <c r="F58" s="14">
        <f t="shared" si="4"/>
        <v>-45.28723047226659</v>
      </c>
      <c r="G58" s="14">
        <f t="shared" si="5"/>
        <v>-96.12359948073802</v>
      </c>
      <c r="H58" s="14"/>
      <c r="I58" s="7">
        <f t="shared" si="6"/>
        <v>0.0022193622690847015</v>
      </c>
      <c r="J58" s="72">
        <v>0</v>
      </c>
      <c r="K58" s="72">
        <v>0</v>
      </c>
      <c r="L58" s="72">
        <v>0</v>
      </c>
      <c r="M58" s="72">
        <v>0</v>
      </c>
      <c r="N58" s="79"/>
    </row>
    <row r="59" spans="1:14" ht="12" customHeight="1">
      <c r="A59" s="82"/>
      <c r="B59" s="4">
        <v>150</v>
      </c>
      <c r="C59" s="5" t="s">
        <v>15</v>
      </c>
      <c r="D59" s="2" t="s">
        <v>16</v>
      </c>
      <c r="E59" s="3">
        <f t="shared" si="3"/>
        <v>-0.003164853324148535</v>
      </c>
      <c r="F59" s="14">
        <f t="shared" si="4"/>
        <v>-34.55895175136189</v>
      </c>
      <c r="G59" s="14">
        <f t="shared" si="5"/>
        <v>-85.55812394841423</v>
      </c>
      <c r="H59" s="14"/>
      <c r="I59" s="7">
        <f t="shared" si="6"/>
        <v>0.010302965337047363</v>
      </c>
      <c r="J59" s="72">
        <v>0</v>
      </c>
      <c r="K59" s="72">
        <v>0</v>
      </c>
      <c r="L59" s="72">
        <v>0</v>
      </c>
      <c r="M59" s="72">
        <v>0</v>
      </c>
      <c r="N59" s="79"/>
    </row>
    <row r="60" spans="1:14" ht="12" customHeight="1">
      <c r="A60" s="82"/>
      <c r="B60" s="4">
        <v>200</v>
      </c>
      <c r="C60" s="5" t="s">
        <v>15</v>
      </c>
      <c r="D60" s="2" t="s">
        <v>16</v>
      </c>
      <c r="E60" s="3">
        <f t="shared" si="3"/>
        <v>-0.017752369894126128</v>
      </c>
      <c r="F60" s="14">
        <f t="shared" si="4"/>
        <v>-26.838484852479922</v>
      </c>
      <c r="G60" s="14">
        <f t="shared" si="5"/>
        <v>-78.06179980769738</v>
      </c>
      <c r="H60" s="14"/>
      <c r="I60" s="7">
        <f t="shared" si="6"/>
        <v>0.0287118845453824</v>
      </c>
      <c r="J60" s="72">
        <v>0</v>
      </c>
      <c r="K60" s="72">
        <v>0</v>
      </c>
      <c r="L60" s="72">
        <v>0</v>
      </c>
      <c r="M60" s="72">
        <v>0</v>
      </c>
      <c r="N60" s="79"/>
    </row>
    <row r="61" spans="1:14" ht="12" customHeight="1">
      <c r="A61" s="82"/>
      <c r="B61" s="4">
        <v>300</v>
      </c>
      <c r="C61" s="5" t="s">
        <v>15</v>
      </c>
      <c r="D61" s="2" t="s">
        <v>16</v>
      </c>
      <c r="E61" s="3">
        <f t="shared" si="3"/>
        <v>-0.19803967399974487</v>
      </c>
      <c r="F61" s="14">
        <f t="shared" si="4"/>
        <v>-15.708892166759236</v>
      </c>
      <c r="G61" s="14">
        <f t="shared" si="5"/>
        <v>-67.4963249694488</v>
      </c>
      <c r="H61" s="14"/>
      <c r="I61" s="7">
        <f t="shared" si="6"/>
        <v>0.09715723665804715</v>
      </c>
      <c r="J61" s="72">
        <v>0</v>
      </c>
      <c r="K61" s="72">
        <v>0</v>
      </c>
      <c r="L61" s="72">
        <v>0</v>
      </c>
      <c r="M61" s="72">
        <v>0</v>
      </c>
      <c r="N61" s="79"/>
    </row>
    <row r="62" spans="1:14" ht="12" customHeight="1">
      <c r="A62" s="82"/>
      <c r="B62" s="4">
        <v>400</v>
      </c>
      <c r="C62" s="5" t="s">
        <v>15</v>
      </c>
      <c r="D62" s="2" t="s">
        <v>16</v>
      </c>
      <c r="E62" s="3">
        <f t="shared" si="3"/>
        <v>-1.0110890707745501</v>
      </c>
      <c r="F62" s="14">
        <f t="shared" si="4"/>
        <v>-7.891527263282049</v>
      </c>
      <c r="G62" s="14">
        <f t="shared" si="5"/>
        <v>-60.000004342942646</v>
      </c>
      <c r="H62" s="14"/>
      <c r="I62" s="7">
        <f t="shared" si="6"/>
        <v>0.1418899425365363</v>
      </c>
      <c r="J62" s="72">
        <v>0</v>
      </c>
      <c r="K62" s="72">
        <v>0</v>
      </c>
      <c r="L62" s="72">
        <v>0</v>
      </c>
      <c r="M62" s="72">
        <v>0</v>
      </c>
      <c r="N62" s="79"/>
    </row>
    <row r="63" spans="1:14" ht="12" customHeight="1">
      <c r="A63" s="82"/>
      <c r="B63" s="4">
        <v>500</v>
      </c>
      <c r="C63" s="5" t="s">
        <v>15</v>
      </c>
      <c r="D63" s="2" t="s">
        <v>16</v>
      </c>
      <c r="E63" s="3">
        <f t="shared" si="3"/>
        <v>-3.0102999566398125</v>
      </c>
      <c r="F63" s="14">
        <f t="shared" si="4"/>
        <v>-3.0102999566398125</v>
      </c>
      <c r="G63" s="14">
        <f t="shared" si="5"/>
        <v>-54.18541578650475</v>
      </c>
      <c r="H63" s="14"/>
      <c r="I63" s="7">
        <f t="shared" si="6"/>
        <v>0.004213959657095254</v>
      </c>
      <c r="J63" s="72">
        <v>0</v>
      </c>
      <c r="K63" s="72">
        <v>0</v>
      </c>
      <c r="L63" s="72">
        <v>0</v>
      </c>
      <c r="M63" s="72">
        <v>0</v>
      </c>
      <c r="N63" s="79"/>
    </row>
    <row r="64" spans="1:14" ht="12" customHeight="1">
      <c r="A64" s="82"/>
      <c r="B64" s="4">
        <v>700</v>
      </c>
      <c r="C64" s="5" t="s">
        <v>15</v>
      </c>
      <c r="D64" s="2" t="s">
        <v>16</v>
      </c>
      <c r="E64" s="3">
        <f t="shared" si="3"/>
        <v>-9.309254065343962</v>
      </c>
      <c r="F64" s="14">
        <f t="shared" si="4"/>
        <v>-0.23174517740947687</v>
      </c>
      <c r="G64" s="14">
        <f t="shared" si="5"/>
        <v>-45.417841819002334</v>
      </c>
      <c r="H64" s="14"/>
      <c r="I64" s="7">
        <f t="shared" si="6"/>
        <v>-0.51650824172359</v>
      </c>
      <c r="J64" s="72">
        <v>0</v>
      </c>
      <c r="K64" s="72">
        <v>0</v>
      </c>
      <c r="L64" s="72">
        <v>0</v>
      </c>
      <c r="M64" s="72">
        <v>0</v>
      </c>
      <c r="N64" s="79"/>
    </row>
    <row r="65" spans="1:14" ht="12" customHeight="1">
      <c r="A65" s="82"/>
      <c r="B65" s="4" t="s">
        <v>31</v>
      </c>
      <c r="C65" s="5" t="s">
        <v>15</v>
      </c>
      <c r="D65" s="2" t="s">
        <v>16</v>
      </c>
      <c r="E65" s="3">
        <f t="shared" si="3"/>
        <v>-18.129133566428553</v>
      </c>
      <c r="F65" s="14">
        <f t="shared" si="4"/>
        <v>-0.002361880637220688</v>
      </c>
      <c r="G65" s="14">
        <f t="shared" si="5"/>
        <v>-36.12465963953142</v>
      </c>
      <c r="H65" s="14"/>
      <c r="I65" s="7">
        <f t="shared" si="6"/>
        <v>-0.5814015982481733</v>
      </c>
      <c r="J65" s="72">
        <v>0</v>
      </c>
      <c r="K65" s="72">
        <v>0</v>
      </c>
      <c r="L65" s="72">
        <v>0</v>
      </c>
      <c r="M65" s="72">
        <v>0</v>
      </c>
      <c r="N65" s="79"/>
    </row>
    <row r="66" spans="1:14" ht="12" customHeight="1">
      <c r="A66" s="82"/>
      <c r="B66" s="4" t="s">
        <v>32</v>
      </c>
      <c r="C66" s="5" t="s">
        <v>15</v>
      </c>
      <c r="D66" s="2" t="s">
        <v>16</v>
      </c>
      <c r="E66" s="3">
        <f t="shared" si="3"/>
        <v>-28.633228601204557</v>
      </c>
      <c r="F66" s="14">
        <f t="shared" si="4"/>
        <v>-5.0637066854907257E-08</v>
      </c>
      <c r="G66" s="14">
        <f t="shared" si="5"/>
        <v>-25.570184531737663</v>
      </c>
      <c r="H66" s="14"/>
      <c r="I66" s="7">
        <f t="shared" si="6"/>
        <v>-0.5255326511457883</v>
      </c>
      <c r="J66" s="72">
        <v>0</v>
      </c>
      <c r="K66" s="72">
        <v>0</v>
      </c>
      <c r="L66" s="72">
        <v>0</v>
      </c>
      <c r="M66" s="72">
        <v>0</v>
      </c>
      <c r="N66" s="79"/>
    </row>
    <row r="67" spans="1:14" ht="12" customHeight="1">
      <c r="A67" s="82"/>
      <c r="B67" s="4" t="s">
        <v>33</v>
      </c>
      <c r="C67" s="5" t="s">
        <v>15</v>
      </c>
      <c r="D67" s="2" t="s">
        <v>16</v>
      </c>
      <c r="E67" s="3">
        <f t="shared" si="3"/>
        <v>-36.12465963953142</v>
      </c>
      <c r="F67" s="14">
        <f t="shared" si="4"/>
        <v>-0.002361880637220688</v>
      </c>
      <c r="G67" s="14">
        <f t="shared" si="5"/>
        <v>-18.129133566428557</v>
      </c>
      <c r="H67" s="14"/>
      <c r="I67" s="7">
        <f t="shared" si="6"/>
        <v>-0.5814043168793674</v>
      </c>
      <c r="J67" s="72">
        <v>0</v>
      </c>
      <c r="K67" s="72">
        <v>0</v>
      </c>
      <c r="L67" s="72">
        <v>0</v>
      </c>
      <c r="M67" s="72">
        <v>0</v>
      </c>
      <c r="N67" s="79"/>
    </row>
    <row r="68" spans="1:14" ht="12" customHeight="1">
      <c r="A68" s="82"/>
      <c r="B68" s="4" t="s">
        <v>34</v>
      </c>
      <c r="C68" s="5" t="s">
        <v>15</v>
      </c>
      <c r="D68" s="2" t="s">
        <v>16</v>
      </c>
      <c r="E68" s="3">
        <f t="shared" si="3"/>
        <v>-46.68916810640077</v>
      </c>
      <c r="F68" s="14">
        <f t="shared" si="4"/>
        <v>-0.3654565899962938</v>
      </c>
      <c r="G68" s="14">
        <f t="shared" si="5"/>
        <v>-8.207697893618365</v>
      </c>
      <c r="H68" s="14"/>
      <c r="I68" s="7">
        <f t="shared" si="6"/>
        <v>-0.4619964196510887</v>
      </c>
      <c r="J68" s="72">
        <v>0</v>
      </c>
      <c r="K68" s="72">
        <v>0</v>
      </c>
      <c r="L68" s="72">
        <v>0</v>
      </c>
      <c r="M68" s="72">
        <v>0</v>
      </c>
      <c r="N68" s="79"/>
    </row>
    <row r="69" spans="1:14" ht="12" customHeight="1">
      <c r="A69" s="82"/>
      <c r="B69" s="4" t="s">
        <v>35</v>
      </c>
      <c r="C69" s="5" t="s">
        <v>15</v>
      </c>
      <c r="D69" s="2" t="s">
        <v>16</v>
      </c>
      <c r="E69" s="3">
        <f t="shared" si="3"/>
        <v>-54.185415786504734</v>
      </c>
      <c r="F69" s="14">
        <f t="shared" si="4"/>
        <v>-3.0102999566398125</v>
      </c>
      <c r="G69" s="14">
        <f t="shared" si="5"/>
        <v>-3.0102999566398125</v>
      </c>
      <c r="H69" s="14"/>
      <c r="I69" s="7">
        <f t="shared" si="6"/>
        <v>0.0042024190626678655</v>
      </c>
      <c r="J69" s="72">
        <v>0</v>
      </c>
      <c r="K69" s="72">
        <v>0</v>
      </c>
      <c r="L69" s="72">
        <v>0</v>
      </c>
      <c r="M69" s="72">
        <v>0</v>
      </c>
      <c r="N69" s="79"/>
    </row>
    <row r="70" spans="1:14" ht="12" customHeight="1">
      <c r="A70" s="82"/>
      <c r="B70" s="4" t="s">
        <v>36</v>
      </c>
      <c r="C70" s="5" t="s">
        <v>15</v>
      </c>
      <c r="D70" s="2" t="s">
        <v>16</v>
      </c>
      <c r="E70" s="3">
        <f t="shared" si="3"/>
        <v>-60.000004342942646</v>
      </c>
      <c r="F70" s="14">
        <f t="shared" si="4"/>
        <v>-7.891527263282045</v>
      </c>
      <c r="G70" s="14">
        <f t="shared" si="5"/>
        <v>-1.011089070774546</v>
      </c>
      <c r="H70" s="14"/>
      <c r="I70" s="7">
        <f t="shared" si="6"/>
        <v>0.1418819748729572</v>
      </c>
      <c r="J70" s="72">
        <v>0</v>
      </c>
      <c r="K70" s="72">
        <v>0</v>
      </c>
      <c r="L70" s="72">
        <v>0</v>
      </c>
      <c r="M70" s="72">
        <v>0</v>
      </c>
      <c r="N70" s="79"/>
    </row>
    <row r="71" spans="1:14" ht="12" customHeight="1">
      <c r="A71" s="82"/>
      <c r="B71" s="4" t="s">
        <v>37</v>
      </c>
      <c r="C71" s="5" t="s">
        <v>15</v>
      </c>
      <c r="D71" s="2" t="s">
        <v>16</v>
      </c>
      <c r="E71" s="3">
        <f t="shared" si="3"/>
        <v>-68.76768271748209</v>
      </c>
      <c r="F71" s="14">
        <f t="shared" si="4"/>
        <v>-17.062179016721963</v>
      </c>
      <c r="G71" s="14">
        <f t="shared" si="5"/>
        <v>-0.14862893932551954</v>
      </c>
      <c r="H71" s="14"/>
      <c r="I71" s="7">
        <f t="shared" si="6"/>
        <v>0.08599192816023454</v>
      </c>
      <c r="J71" s="72">
        <v>0</v>
      </c>
      <c r="K71" s="72">
        <v>0</v>
      </c>
      <c r="L71" s="72">
        <v>0</v>
      </c>
      <c r="M71" s="72">
        <v>0</v>
      </c>
      <c r="N71" s="79"/>
    </row>
    <row r="72" spans="1:14" ht="12" customHeight="1">
      <c r="A72" s="82"/>
      <c r="B72" s="4" t="s">
        <v>38</v>
      </c>
      <c r="C72" s="5" t="s">
        <v>15</v>
      </c>
      <c r="D72" s="2" t="s">
        <v>16</v>
      </c>
      <c r="E72" s="3">
        <f t="shared" si="3"/>
        <v>-78.06179980769738</v>
      </c>
      <c r="F72" s="14">
        <f t="shared" si="4"/>
        <v>-26.838484852479922</v>
      </c>
      <c r="G72" s="14">
        <f t="shared" si="5"/>
        <v>-0.01775236989412806</v>
      </c>
      <c r="H72" s="14"/>
      <c r="I72" s="7">
        <f t="shared" si="6"/>
        <v>0.028710849159596874</v>
      </c>
      <c r="J72" s="72">
        <v>0</v>
      </c>
      <c r="K72" s="72">
        <v>0</v>
      </c>
      <c r="L72" s="72">
        <v>0</v>
      </c>
      <c r="M72" s="72">
        <v>0</v>
      </c>
      <c r="N72" s="79"/>
    </row>
    <row r="73" spans="1:14" ht="12" customHeight="1">
      <c r="A73" s="82"/>
      <c r="B73" s="4" t="s">
        <v>39</v>
      </c>
      <c r="C73" s="5" t="s">
        <v>15</v>
      </c>
      <c r="D73" s="2" t="s">
        <v>16</v>
      </c>
      <c r="E73" s="3">
        <f t="shared" si="3"/>
        <v>-88.62727528913715</v>
      </c>
      <c r="F73" s="14">
        <f t="shared" si="4"/>
        <v>-37.689472969231616</v>
      </c>
      <c r="G73" s="14">
        <f t="shared" si="5"/>
        <v>-0.0015614160232964402</v>
      </c>
      <c r="H73" s="14"/>
      <c r="I73" s="7">
        <f t="shared" si="6"/>
        <v>0.006647678352541723</v>
      </c>
      <c r="J73" s="72">
        <v>0</v>
      </c>
      <c r="K73" s="72">
        <v>0</v>
      </c>
      <c r="L73" s="72">
        <v>0</v>
      </c>
      <c r="M73" s="72">
        <v>0</v>
      </c>
      <c r="N73" s="79"/>
    </row>
    <row r="74" spans="1:14" ht="12" customHeight="1">
      <c r="A74" s="83"/>
      <c r="B74" s="4" t="s">
        <v>40</v>
      </c>
      <c r="C74" s="5" t="s">
        <v>15</v>
      </c>
      <c r="D74" s="2" t="s">
        <v>16</v>
      </c>
      <c r="E74" s="3">
        <f t="shared" si="3"/>
        <v>-96.12359948073804</v>
      </c>
      <c r="F74" s="14">
        <f t="shared" si="4"/>
        <v>-45.28723047226659</v>
      </c>
      <c r="G74" s="14">
        <f t="shared" si="5"/>
        <v>-0.00027793957444609827</v>
      </c>
      <c r="H74" s="14"/>
      <c r="I74" s="7">
        <f t="shared" si="6"/>
        <v>0.002219237091097081</v>
      </c>
      <c r="J74" s="72">
        <v>0</v>
      </c>
      <c r="K74" s="72">
        <v>0</v>
      </c>
      <c r="L74" s="72">
        <v>0</v>
      </c>
      <c r="M74" s="72">
        <v>0</v>
      </c>
      <c r="N74" s="80"/>
    </row>
    <row r="75" spans="1:14" ht="12" customHeight="1">
      <c r="A75" s="81" t="s">
        <v>117</v>
      </c>
      <c r="B75" s="4">
        <v>20</v>
      </c>
      <c r="C75" s="5" t="s">
        <v>15</v>
      </c>
      <c r="D75" s="2" t="s">
        <v>18</v>
      </c>
      <c r="E75" s="6">
        <f>IF($H$17=0,0,E229)+180/PI()*(ATAN2((E97*(D97*D119-D97*E97+E97*D119)-E$28^2*(D97-D119)),(-1)*E$28*D97*D119)-ATAN2(E$28,E97))</f>
        <v>-4.584887015160891</v>
      </c>
      <c r="F75" s="6">
        <f>IF($H$17=0,0,F229)+IF(E141&lt;0,0,-180)+180/3.14159*(ATAN2((F141*(E141*G141+E141*F141+F141*G141)+F$28^2*(E141+G141)),(-1)*F$28*E141*G141)-ATAN2(F$28,F141))</f>
        <v>265.9878972555241</v>
      </c>
      <c r="G75" s="6">
        <f>IF($H$17=0,0,G229)+180/PI()*(ATAN2((I119*(I97*I119+I97*H119-H119*I119)+G$28^2*(I97-H119)),G$28*I97*H119)+ATAN2(G$28,I119))</f>
        <v>269.42703981747337</v>
      </c>
      <c r="H75" s="6"/>
      <c r="I75" s="6">
        <f>180/PI()*ATAN2((10^(E53/20)*COS(PI()*E75/180)+10^(F53/20)*COS(PI()*F75/180)+10^(G53/20)*COS(PI()*G75/180)),(10^(E53/20)*SIN(PI()*E75/180)+10^(F53/20)*SIN(PI()*F75/180)+10^(G53/20)*SIN(PI()*G75/180)))</f>
        <v>-4.587352066749717</v>
      </c>
      <c r="L75" s="54"/>
      <c r="N75" s="60"/>
    </row>
    <row r="76" spans="1:14" ht="12" customHeight="1">
      <c r="A76" s="82"/>
      <c r="B76" s="4">
        <v>30</v>
      </c>
      <c r="C76" s="5" t="s">
        <v>19</v>
      </c>
      <c r="D76" s="2" t="s">
        <v>18</v>
      </c>
      <c r="E76" s="6">
        <f aca="true" t="shared" si="7" ref="E76:E96">IF($H$17=0,0,E230)+180/PI()*(ATAN2((E98*(D98*D120-D98*E98+E98*D120)-E$28^2*(D98-D120)),(-1)*E$28*D98*D120)-ATAN2(E$28,E98))</f>
        <v>-6.8796366130834015</v>
      </c>
      <c r="F76" s="6">
        <f aca="true" t="shared" si="8" ref="F76:F96">IF($H$17=0,0,F230)+IF(E142&lt;0,0,-180)+180/3.14159*(ATAN2((F142*(E142*G142+E142*F142+F142*G142)+F$28^2*(E142+G142)),(-1)*F$28*E142*G142)-ATAN2(F$28,F142))</f>
        <v>263.97868117641127</v>
      </c>
      <c r="G76" s="6">
        <f aca="true" t="shared" si="9" ref="G76:G96">IF($H$17=0,0,G230)+180/PI()*(ATAN2((I120*(I98*I120+I98*H120-H120*I120)+G$28^2*(I98-H120)),G$28*I98*H120)+ATAN2(G$28,I120))</f>
        <v>269.1405552495409</v>
      </c>
      <c r="H76" s="6"/>
      <c r="I76" s="6">
        <f aca="true" t="shared" si="10" ref="I76:I96">180/PI()*ATAN2((10^(E54/20)*COS(PI()*E76/180)+10^(F54/20)*COS(PI()*F76/180)+10^(G54/20)*COS(PI()*G76/180)),(10^(E54/20)*SIN(PI()*E76/180)+10^(F54/20)*SIN(PI()*F76/180)+10^(G54/20)*SIN(PI()*G76/180)))</f>
        <v>-6.887961782618597</v>
      </c>
      <c r="L76" s="54"/>
      <c r="N76" s="60"/>
    </row>
    <row r="77" spans="1:14" ht="12" customHeight="1">
      <c r="A77" s="82"/>
      <c r="B77" s="4">
        <v>40</v>
      </c>
      <c r="C77" s="5" t="s">
        <v>19</v>
      </c>
      <c r="D77" s="2" t="s">
        <v>18</v>
      </c>
      <c r="E77" s="6">
        <f t="shared" si="7"/>
        <v>-9.177177956349054</v>
      </c>
      <c r="F77" s="6">
        <f t="shared" si="8"/>
        <v>261.9657847740566</v>
      </c>
      <c r="G77" s="6">
        <f t="shared" si="9"/>
        <v>268.85406530885354</v>
      </c>
      <c r="H77" s="6"/>
      <c r="I77" s="6">
        <f t="shared" si="10"/>
        <v>-9.196930326883173</v>
      </c>
      <c r="L77" s="54"/>
      <c r="N77" s="60"/>
    </row>
    <row r="78" spans="1:14" ht="12" customHeight="1">
      <c r="A78" s="82"/>
      <c r="B78" s="4">
        <v>50</v>
      </c>
      <c r="C78" s="5" t="s">
        <v>19</v>
      </c>
      <c r="D78" s="2" t="s">
        <v>18</v>
      </c>
      <c r="E78" s="6">
        <f t="shared" si="7"/>
        <v>-11.478482035413787</v>
      </c>
      <c r="F78" s="6">
        <f t="shared" si="8"/>
        <v>259.94794871343674</v>
      </c>
      <c r="G78" s="6">
        <f t="shared" si="9"/>
        <v>268.56756820323983</v>
      </c>
      <c r="H78" s="6"/>
      <c r="I78" s="6">
        <f t="shared" si="10"/>
        <v>-11.517107626672413</v>
      </c>
      <c r="L78" s="54"/>
      <c r="N78" s="60"/>
    </row>
    <row r="79" spans="1:14" ht="12" customHeight="1">
      <c r="A79" s="82"/>
      <c r="B79" s="4">
        <v>70</v>
      </c>
      <c r="C79" s="5" t="s">
        <v>19</v>
      </c>
      <c r="D79" s="2" t="s">
        <v>18</v>
      </c>
      <c r="E79" s="6">
        <f t="shared" si="7"/>
        <v>-16.096440013031472</v>
      </c>
      <c r="F79" s="6">
        <f t="shared" si="8"/>
        <v>255.892273221904</v>
      </c>
      <c r="G79" s="6">
        <f t="shared" si="9"/>
        <v>267.99454532291156</v>
      </c>
      <c r="H79" s="6"/>
      <c r="I79" s="6">
        <f t="shared" si="10"/>
        <v>-16.202769868413792</v>
      </c>
      <c r="L79" s="54"/>
      <c r="N79" s="60"/>
    </row>
    <row r="80" spans="1:14" ht="12" customHeight="1">
      <c r="A80" s="82"/>
      <c r="B80" s="4">
        <v>100</v>
      </c>
      <c r="C80" s="5" t="s">
        <v>19</v>
      </c>
      <c r="D80" s="2" t="s">
        <v>18</v>
      </c>
      <c r="E80" s="6">
        <f t="shared" si="7"/>
        <v>-23.07822140604086</v>
      </c>
      <c r="F80" s="6">
        <f t="shared" si="8"/>
        <v>249.73823852051393</v>
      </c>
      <c r="G80" s="6">
        <f t="shared" si="9"/>
        <v>267.13491238511585</v>
      </c>
      <c r="H80" s="6"/>
      <c r="I80" s="6">
        <f t="shared" si="10"/>
        <v>-23.390324208634823</v>
      </c>
      <c r="L80" s="54"/>
      <c r="N80" s="60"/>
    </row>
    <row r="81" spans="1:14" ht="12" customHeight="1">
      <c r="A81" s="82"/>
      <c r="B81" s="4">
        <v>150</v>
      </c>
      <c r="C81" s="5" t="s">
        <v>19</v>
      </c>
      <c r="D81" s="2" t="s">
        <v>18</v>
      </c>
      <c r="E81" s="6">
        <f t="shared" si="7"/>
        <v>-34.94509876157188</v>
      </c>
      <c r="F81" s="6">
        <f t="shared" si="8"/>
        <v>239.19162549970062</v>
      </c>
      <c r="G81" s="6">
        <f t="shared" si="9"/>
        <v>265.7018076862831</v>
      </c>
      <c r="H81" s="6"/>
      <c r="I81" s="6">
        <f t="shared" si="10"/>
        <v>-36.01564844354478</v>
      </c>
      <c r="L81" s="54"/>
      <c r="N81" s="60"/>
    </row>
    <row r="82" spans="1:14" ht="12" customHeight="1">
      <c r="A82" s="82"/>
      <c r="B82" s="4">
        <v>200</v>
      </c>
      <c r="C82" s="5" t="s">
        <v>19</v>
      </c>
      <c r="D82" s="2" t="s">
        <v>18</v>
      </c>
      <c r="E82" s="6">
        <f t="shared" si="7"/>
        <v>-47.264754548223436</v>
      </c>
      <c r="F82" s="6">
        <f t="shared" si="8"/>
        <v>228.08429945238703</v>
      </c>
      <c r="G82" s="6">
        <f t="shared" si="9"/>
        <v>264.26802757537473</v>
      </c>
      <c r="H82" s="6"/>
      <c r="I82" s="6">
        <f t="shared" si="10"/>
        <v>-49.858406304878024</v>
      </c>
      <c r="L82" s="54"/>
      <c r="N82" s="60"/>
    </row>
    <row r="83" spans="1:14" ht="12" customHeight="1">
      <c r="A83" s="82"/>
      <c r="B83" s="4">
        <v>300</v>
      </c>
      <c r="C83" s="5" t="s">
        <v>19</v>
      </c>
      <c r="D83" s="2" t="s">
        <v>18</v>
      </c>
      <c r="E83" s="6">
        <f t="shared" si="7"/>
        <v>-74.11614626607893</v>
      </c>
      <c r="F83" s="6">
        <f t="shared" si="8"/>
        <v>202.9687946835369</v>
      </c>
      <c r="G83" s="6">
        <f t="shared" si="9"/>
        <v>261.39752168681395</v>
      </c>
      <c r="H83" s="6"/>
      <c r="I83" s="6">
        <f t="shared" si="10"/>
        <v>-83.38128917850949</v>
      </c>
      <c r="L83" s="54"/>
      <c r="N83" s="60"/>
    </row>
    <row r="84" spans="1:14" ht="12" customHeight="1">
      <c r="A84" s="82"/>
      <c r="B84" s="4">
        <v>400</v>
      </c>
      <c r="C84" s="5" t="s">
        <v>19</v>
      </c>
      <c r="D84" s="2" t="s">
        <v>18</v>
      </c>
      <c r="E84" s="6">
        <f t="shared" si="7"/>
        <v>-104.43206293613594</v>
      </c>
      <c r="F84" s="6">
        <f t="shared" si="8"/>
        <v>171.69459332526628</v>
      </c>
      <c r="G84" s="6">
        <f t="shared" si="9"/>
        <v>258.5215179645862</v>
      </c>
      <c r="H84" s="6"/>
      <c r="I84" s="6">
        <f t="shared" si="10"/>
        <v>-127.6520260077405</v>
      </c>
      <c r="L84" s="54"/>
      <c r="N84" s="60"/>
    </row>
    <row r="85" spans="1:14" ht="12" customHeight="1">
      <c r="A85" s="82"/>
      <c r="B85" s="4">
        <v>500</v>
      </c>
      <c r="C85" s="5" t="s">
        <v>19</v>
      </c>
      <c r="D85" s="2" t="s">
        <v>18</v>
      </c>
      <c r="E85" s="6">
        <f t="shared" si="7"/>
        <v>-134.99999999999997</v>
      </c>
      <c r="F85" s="6">
        <f t="shared" si="8"/>
        <v>135.00011402971813</v>
      </c>
      <c r="G85" s="6">
        <f t="shared" si="9"/>
        <v>255.6380616251302</v>
      </c>
      <c r="H85" s="6"/>
      <c r="I85" s="6">
        <f t="shared" si="10"/>
        <v>-179.8915873955288</v>
      </c>
      <c r="L85" s="54"/>
      <c r="N85" s="60"/>
    </row>
    <row r="86" spans="1:14" ht="12" customHeight="1">
      <c r="A86" s="82"/>
      <c r="B86" s="4">
        <v>700</v>
      </c>
      <c r="C86" s="5" t="s">
        <v>19</v>
      </c>
      <c r="D86" s="2" t="s">
        <v>18</v>
      </c>
      <c r="E86" s="6">
        <f t="shared" si="7"/>
        <v>-178.90131151682922</v>
      </c>
      <c r="F86" s="6">
        <f t="shared" si="8"/>
        <v>76.469910920705</v>
      </c>
      <c r="G86" s="6">
        <f t="shared" si="9"/>
        <v>249.8404423582942</v>
      </c>
      <c r="H86" s="6"/>
      <c r="I86" s="6">
        <f t="shared" si="10"/>
        <v>97.09537490279989</v>
      </c>
      <c r="L86" s="54"/>
      <c r="N86" s="60"/>
    </row>
    <row r="87" spans="1:14" ht="12" customHeight="1">
      <c r="A87" s="82"/>
      <c r="B87" s="4" t="s">
        <v>21</v>
      </c>
      <c r="C87" s="5" t="s">
        <v>19</v>
      </c>
      <c r="D87" s="2" t="s">
        <v>18</v>
      </c>
      <c r="E87" s="6">
        <f t="shared" si="7"/>
        <v>-209.74488129694222</v>
      </c>
      <c r="F87" s="6">
        <f t="shared" si="8"/>
        <v>33.22692233832016</v>
      </c>
      <c r="G87" s="6">
        <f t="shared" si="9"/>
        <v>241.03233935393598</v>
      </c>
      <c r="H87" s="6"/>
      <c r="I87" s="6">
        <f t="shared" si="10"/>
        <v>39.562100861146206</v>
      </c>
      <c r="L87" s="54"/>
      <c r="N87" s="60"/>
    </row>
    <row r="88" spans="1:14" ht="12" customHeight="1">
      <c r="A88" s="82"/>
      <c r="B88" s="4" t="s">
        <v>22</v>
      </c>
      <c r="C88" s="5" t="s">
        <v>19</v>
      </c>
      <c r="D88" s="2" t="s">
        <v>18</v>
      </c>
      <c r="E88" s="6">
        <f t="shared" si="7"/>
        <v>-231.00900595749454</v>
      </c>
      <c r="F88" s="6">
        <f t="shared" si="8"/>
        <v>-5.458661340099326</v>
      </c>
      <c r="G88" s="6">
        <f t="shared" si="9"/>
        <v>225.8692485785039</v>
      </c>
      <c r="H88" s="6"/>
      <c r="I88" s="6">
        <f t="shared" si="10"/>
        <v>-6.353056309692156</v>
      </c>
      <c r="L88" s="54"/>
      <c r="N88" s="60"/>
    </row>
    <row r="89" spans="1:14" ht="12" customHeight="1">
      <c r="A89" s="82"/>
      <c r="B89" s="4" t="s">
        <v>23</v>
      </c>
      <c r="C89" s="5" t="s">
        <v>19</v>
      </c>
      <c r="D89" s="2" t="s">
        <v>18</v>
      </c>
      <c r="E89" s="6">
        <f t="shared" si="7"/>
        <v>-241.03233935393598</v>
      </c>
      <c r="F89" s="6">
        <f t="shared" si="8"/>
        <v>-33.22677029869604</v>
      </c>
      <c r="G89" s="6">
        <f t="shared" si="9"/>
        <v>209.74488129694222</v>
      </c>
      <c r="H89" s="6"/>
      <c r="I89" s="6">
        <f t="shared" si="10"/>
        <v>-39.56193933291118</v>
      </c>
      <c r="L89" s="54"/>
      <c r="N89" s="60"/>
    </row>
    <row r="90" spans="1:14" ht="12" customHeight="1">
      <c r="A90" s="82"/>
      <c r="B90" s="4" t="s">
        <v>24</v>
      </c>
      <c r="C90" s="5" t="s">
        <v>19</v>
      </c>
      <c r="D90" s="2" t="s">
        <v>18</v>
      </c>
      <c r="E90" s="6">
        <f t="shared" si="7"/>
        <v>-250.8100992405728</v>
      </c>
      <c r="F90" s="6">
        <f t="shared" si="8"/>
        <v>-83.88441524835328</v>
      </c>
      <c r="G90" s="6">
        <f t="shared" si="9"/>
        <v>173.38653951768524</v>
      </c>
      <c r="H90" s="6"/>
      <c r="I90" s="6">
        <f t="shared" si="10"/>
        <v>-107.52286121687237</v>
      </c>
      <c r="L90" s="54"/>
      <c r="N90" s="60"/>
    </row>
    <row r="91" spans="1:14" ht="12" customHeight="1">
      <c r="A91" s="82"/>
      <c r="B91" s="4" t="s">
        <v>25</v>
      </c>
      <c r="C91" s="5" t="s">
        <v>19</v>
      </c>
      <c r="D91" s="2" t="s">
        <v>18</v>
      </c>
      <c r="E91" s="6">
        <f t="shared" si="7"/>
        <v>-255.6380616251302</v>
      </c>
      <c r="F91" s="6">
        <f t="shared" si="8"/>
        <v>-134.99996199009396</v>
      </c>
      <c r="G91" s="6">
        <f t="shared" si="9"/>
        <v>135</v>
      </c>
      <c r="H91" s="6"/>
      <c r="I91" s="6">
        <f t="shared" si="10"/>
        <v>179.8916632345622</v>
      </c>
      <c r="L91" s="54"/>
      <c r="N91" s="60"/>
    </row>
    <row r="92" spans="1:14" ht="12" customHeight="1">
      <c r="A92" s="82"/>
      <c r="B92" s="4" t="s">
        <v>26</v>
      </c>
      <c r="C92" s="5" t="s">
        <v>19</v>
      </c>
      <c r="D92" s="2" t="s">
        <v>18</v>
      </c>
      <c r="E92" s="6">
        <f t="shared" si="7"/>
        <v>-258.5215179645862</v>
      </c>
      <c r="F92" s="6">
        <f t="shared" si="8"/>
        <v>-171.69444128564217</v>
      </c>
      <c r="G92" s="6">
        <f t="shared" si="9"/>
        <v>104.43206293613592</v>
      </c>
      <c r="H92" s="6"/>
      <c r="I92" s="6">
        <f t="shared" si="10"/>
        <v>127.6520555580598</v>
      </c>
      <c r="L92" s="54"/>
      <c r="N92" s="60"/>
    </row>
    <row r="93" spans="1:14" ht="12" customHeight="1">
      <c r="A93" s="82"/>
      <c r="B93" s="4" t="s">
        <v>27</v>
      </c>
      <c r="C93" s="5" t="s">
        <v>19</v>
      </c>
      <c r="D93" s="2" t="s">
        <v>18</v>
      </c>
      <c r="E93" s="6">
        <f t="shared" si="7"/>
        <v>-261.8078860548547</v>
      </c>
      <c r="F93" s="6">
        <f t="shared" si="8"/>
        <v>-206.87397717842282</v>
      </c>
      <c r="G93" s="6">
        <f t="shared" si="9"/>
        <v>70.05898145743951</v>
      </c>
      <c r="H93" s="6"/>
      <c r="I93" s="6">
        <f t="shared" si="10"/>
        <v>77.99222760331611</v>
      </c>
      <c r="L93" s="54"/>
      <c r="N93" s="60"/>
    </row>
    <row r="94" spans="1:14" ht="12" customHeight="1">
      <c r="A94" s="82"/>
      <c r="B94" s="4" t="s">
        <v>28</v>
      </c>
      <c r="C94" s="5" t="s">
        <v>19</v>
      </c>
      <c r="D94" s="2" t="s">
        <v>18</v>
      </c>
      <c r="E94" s="6">
        <f t="shared" si="7"/>
        <v>-264.26802757537473</v>
      </c>
      <c r="F94" s="6">
        <f t="shared" si="8"/>
        <v>-228.0841474127629</v>
      </c>
      <c r="G94" s="6">
        <f t="shared" si="9"/>
        <v>47.26475454822343</v>
      </c>
      <c r="H94" s="6"/>
      <c r="I94" s="6">
        <f t="shared" si="10"/>
        <v>49.858407257776754</v>
      </c>
      <c r="L94" s="54"/>
      <c r="N94" s="60"/>
    </row>
    <row r="95" spans="1:14" ht="12" customHeight="1">
      <c r="A95" s="82"/>
      <c r="B95" s="4" t="s">
        <v>29</v>
      </c>
      <c r="C95" s="5" t="s">
        <v>19</v>
      </c>
      <c r="D95" s="2" t="s">
        <v>18</v>
      </c>
      <c r="E95" s="6">
        <f t="shared" si="7"/>
        <v>-266.17957306810035</v>
      </c>
      <c r="F95" s="6">
        <f t="shared" si="8"/>
        <v>-242.7571065604081</v>
      </c>
      <c r="G95" s="6">
        <f t="shared" si="9"/>
        <v>30.949201896529992</v>
      </c>
      <c r="H95" s="6"/>
      <c r="I95" s="6">
        <f t="shared" si="10"/>
        <v>31.696540993896253</v>
      </c>
      <c r="L95" s="54"/>
      <c r="N95" s="60"/>
    </row>
    <row r="96" spans="1:14" ht="12" customHeight="1">
      <c r="A96" s="83"/>
      <c r="B96" s="4" t="s">
        <v>30</v>
      </c>
      <c r="C96" s="5" t="s">
        <v>19</v>
      </c>
      <c r="D96" s="2" t="s">
        <v>18</v>
      </c>
      <c r="E96" s="6">
        <f t="shared" si="7"/>
        <v>-267.13491238511585</v>
      </c>
      <c r="F96" s="6">
        <f t="shared" si="8"/>
        <v>-249.73808648088982</v>
      </c>
      <c r="G96" s="6">
        <f t="shared" si="9"/>
        <v>23.078221406040864</v>
      </c>
      <c r="H96" s="6"/>
      <c r="I96" s="6">
        <f t="shared" si="10"/>
        <v>23.390324253766366</v>
      </c>
      <c r="L96" s="54"/>
      <c r="N96" s="60"/>
    </row>
    <row r="97" spans="1:9" ht="12" customHeight="1">
      <c r="A97" s="81" t="s">
        <v>118</v>
      </c>
      <c r="B97" s="4">
        <v>20</v>
      </c>
      <c r="C97" s="5" t="s">
        <v>19</v>
      </c>
      <c r="D97" s="48">
        <f aca="true" t="shared" si="11" ref="D97:D118">2*PI()*$B97*D$18*0.001</f>
        <v>0.36000000000000004</v>
      </c>
      <c r="E97" s="48">
        <f aca="true" t="shared" si="12" ref="E97:I118">2*PI()*$B97*E$18*0.001</f>
        <v>0.12000000000000002</v>
      </c>
      <c r="F97" s="48">
        <f t="shared" si="12"/>
        <v>0.15749999999999997</v>
      </c>
      <c r="G97" s="48">
        <f t="shared" si="12"/>
        <v>0.051428571428571435</v>
      </c>
      <c r="H97" s="48">
        <f t="shared" si="12"/>
        <v>0.017142857142857147</v>
      </c>
      <c r="I97" s="48">
        <f t="shared" si="12"/>
        <v>0.022500000000000003</v>
      </c>
    </row>
    <row r="98" spans="1:9" ht="12" customHeight="1">
      <c r="A98" s="82"/>
      <c r="B98" s="4">
        <v>30</v>
      </c>
      <c r="C98" s="5" t="s">
        <v>19</v>
      </c>
      <c r="D98" s="48">
        <f t="shared" si="11"/>
        <v>0.54</v>
      </c>
      <c r="E98" s="48">
        <f t="shared" si="12"/>
        <v>0.18</v>
      </c>
      <c r="F98" s="48">
        <f t="shared" si="12"/>
        <v>0.23624999999999996</v>
      </c>
      <c r="G98" s="48">
        <f t="shared" si="12"/>
        <v>0.07714285714285714</v>
      </c>
      <c r="H98" s="48">
        <f t="shared" si="12"/>
        <v>0.025714285714285717</v>
      </c>
      <c r="I98" s="48">
        <f t="shared" si="12"/>
        <v>0.03375</v>
      </c>
    </row>
    <row r="99" spans="1:9" ht="12" customHeight="1">
      <c r="A99" s="82"/>
      <c r="B99" s="4">
        <v>40</v>
      </c>
      <c r="C99" s="5" t="s">
        <v>19</v>
      </c>
      <c r="D99" s="48">
        <f t="shared" si="11"/>
        <v>0.7200000000000001</v>
      </c>
      <c r="E99" s="48">
        <f t="shared" si="12"/>
        <v>0.24000000000000005</v>
      </c>
      <c r="F99" s="48">
        <f t="shared" si="12"/>
        <v>0.31499999999999995</v>
      </c>
      <c r="G99" s="48">
        <f t="shared" si="12"/>
        <v>0.10285714285714287</v>
      </c>
      <c r="H99" s="48">
        <f t="shared" si="12"/>
        <v>0.034285714285714294</v>
      </c>
      <c r="I99" s="48">
        <f t="shared" si="12"/>
        <v>0.045000000000000005</v>
      </c>
    </row>
    <row r="100" spans="1:9" ht="12" customHeight="1">
      <c r="A100" s="82"/>
      <c r="B100" s="4">
        <v>50</v>
      </c>
      <c r="C100" s="5" t="s">
        <v>19</v>
      </c>
      <c r="D100" s="48">
        <f t="shared" si="11"/>
        <v>0.9000000000000001</v>
      </c>
      <c r="E100" s="48">
        <f t="shared" si="12"/>
        <v>0.30000000000000004</v>
      </c>
      <c r="F100" s="48">
        <f t="shared" si="12"/>
        <v>0.39374999999999993</v>
      </c>
      <c r="G100" s="48">
        <f t="shared" si="12"/>
        <v>0.1285714285714286</v>
      </c>
      <c r="H100" s="48">
        <f t="shared" si="12"/>
        <v>0.042857142857142864</v>
      </c>
      <c r="I100" s="48">
        <f t="shared" si="12"/>
        <v>0.05625000000000001</v>
      </c>
    </row>
    <row r="101" spans="1:9" ht="12" customHeight="1">
      <c r="A101" s="82"/>
      <c r="B101" s="4">
        <v>70</v>
      </c>
      <c r="C101" s="5" t="s">
        <v>19</v>
      </c>
      <c r="D101" s="48">
        <f t="shared" si="11"/>
        <v>1.26</v>
      </c>
      <c r="E101" s="48">
        <f t="shared" si="12"/>
        <v>0.42</v>
      </c>
      <c r="F101" s="48">
        <f t="shared" si="12"/>
        <v>0.5512499999999999</v>
      </c>
      <c r="G101" s="48">
        <f t="shared" si="12"/>
        <v>0.18</v>
      </c>
      <c r="H101" s="48">
        <f t="shared" si="12"/>
        <v>0.06000000000000001</v>
      </c>
      <c r="I101" s="48">
        <f t="shared" si="12"/>
        <v>0.07875</v>
      </c>
    </row>
    <row r="102" spans="1:9" ht="12" customHeight="1">
      <c r="A102" s="82"/>
      <c r="B102" s="4">
        <v>100</v>
      </c>
      <c r="C102" s="5" t="s">
        <v>19</v>
      </c>
      <c r="D102" s="48">
        <f t="shared" si="11"/>
        <v>1.8000000000000003</v>
      </c>
      <c r="E102" s="48">
        <f t="shared" si="12"/>
        <v>0.6000000000000001</v>
      </c>
      <c r="F102" s="48">
        <f t="shared" si="12"/>
        <v>0.7874999999999999</v>
      </c>
      <c r="G102" s="48">
        <f t="shared" si="12"/>
        <v>0.2571428571428572</v>
      </c>
      <c r="H102" s="48">
        <f t="shared" si="12"/>
        <v>0.08571428571428573</v>
      </c>
      <c r="I102" s="48">
        <f t="shared" si="12"/>
        <v>0.11250000000000002</v>
      </c>
    </row>
    <row r="103" spans="1:9" ht="12" customHeight="1">
      <c r="A103" s="82"/>
      <c r="B103" s="4">
        <v>150</v>
      </c>
      <c r="C103" s="5" t="s">
        <v>19</v>
      </c>
      <c r="D103" s="48">
        <f t="shared" si="11"/>
        <v>2.7000000000000006</v>
      </c>
      <c r="E103" s="48">
        <f t="shared" si="12"/>
        <v>0.9000000000000001</v>
      </c>
      <c r="F103" s="48">
        <f t="shared" si="12"/>
        <v>1.1812499999999997</v>
      </c>
      <c r="G103" s="48">
        <f t="shared" si="12"/>
        <v>0.38571428571428573</v>
      </c>
      <c r="H103" s="48">
        <f t="shared" si="12"/>
        <v>0.1285714285714286</v>
      </c>
      <c r="I103" s="48">
        <f t="shared" si="12"/>
        <v>0.16875000000000004</v>
      </c>
    </row>
    <row r="104" spans="1:9" ht="12" customHeight="1">
      <c r="A104" s="82"/>
      <c r="B104" s="4">
        <v>200</v>
      </c>
      <c r="C104" s="5" t="s">
        <v>19</v>
      </c>
      <c r="D104" s="48">
        <f t="shared" si="11"/>
        <v>3.6000000000000005</v>
      </c>
      <c r="E104" s="48">
        <f t="shared" si="12"/>
        <v>1.2000000000000002</v>
      </c>
      <c r="F104" s="48">
        <f t="shared" si="12"/>
        <v>1.5749999999999997</v>
      </c>
      <c r="G104" s="48">
        <f t="shared" si="12"/>
        <v>0.5142857142857143</v>
      </c>
      <c r="H104" s="48">
        <f t="shared" si="12"/>
        <v>0.17142857142857146</v>
      </c>
      <c r="I104" s="48">
        <f t="shared" si="12"/>
        <v>0.22500000000000003</v>
      </c>
    </row>
    <row r="105" spans="1:9" ht="12" customHeight="1">
      <c r="A105" s="82"/>
      <c r="B105" s="4">
        <v>300</v>
      </c>
      <c r="C105" s="5" t="s">
        <v>19</v>
      </c>
      <c r="D105" s="48">
        <f t="shared" si="11"/>
        <v>5.400000000000001</v>
      </c>
      <c r="E105" s="48">
        <f t="shared" si="12"/>
        <v>1.8000000000000003</v>
      </c>
      <c r="F105" s="48">
        <f t="shared" si="12"/>
        <v>2.3624999999999994</v>
      </c>
      <c r="G105" s="48">
        <f t="shared" si="12"/>
        <v>0.7714285714285715</v>
      </c>
      <c r="H105" s="48">
        <f t="shared" si="12"/>
        <v>0.2571428571428572</v>
      </c>
      <c r="I105" s="48">
        <f t="shared" si="12"/>
        <v>0.3375000000000001</v>
      </c>
    </row>
    <row r="106" spans="1:9" ht="12" customHeight="1">
      <c r="A106" s="82"/>
      <c r="B106" s="4">
        <v>400</v>
      </c>
      <c r="C106" s="5" t="s">
        <v>19</v>
      </c>
      <c r="D106" s="48">
        <f t="shared" si="11"/>
        <v>7.200000000000001</v>
      </c>
      <c r="E106" s="48">
        <f t="shared" si="12"/>
        <v>2.4000000000000004</v>
      </c>
      <c r="F106" s="48">
        <f t="shared" si="12"/>
        <v>3.1499999999999995</v>
      </c>
      <c r="G106" s="48">
        <f t="shared" si="12"/>
        <v>1.0285714285714287</v>
      </c>
      <c r="H106" s="48">
        <f t="shared" si="12"/>
        <v>0.3428571428571429</v>
      </c>
      <c r="I106" s="48">
        <f t="shared" si="12"/>
        <v>0.45000000000000007</v>
      </c>
    </row>
    <row r="107" spans="1:9" ht="12" customHeight="1">
      <c r="A107" s="82"/>
      <c r="B107" s="4">
        <v>500</v>
      </c>
      <c r="C107" s="5" t="s">
        <v>19</v>
      </c>
      <c r="D107" s="48">
        <f t="shared" si="11"/>
        <v>9</v>
      </c>
      <c r="E107" s="48">
        <f t="shared" si="12"/>
        <v>3</v>
      </c>
      <c r="F107" s="48">
        <f t="shared" si="12"/>
        <v>3.937499999999999</v>
      </c>
      <c r="G107" s="48">
        <f t="shared" si="12"/>
        <v>1.2857142857142858</v>
      </c>
      <c r="H107" s="48">
        <f t="shared" si="12"/>
        <v>0.4285714285714286</v>
      </c>
      <c r="I107" s="48">
        <f t="shared" si="12"/>
        <v>0.5625</v>
      </c>
    </row>
    <row r="108" spans="1:9" ht="12" customHeight="1">
      <c r="A108" s="82"/>
      <c r="B108" s="4">
        <v>700</v>
      </c>
      <c r="C108" s="5" t="s">
        <v>19</v>
      </c>
      <c r="D108" s="48">
        <f t="shared" si="11"/>
        <v>12.6</v>
      </c>
      <c r="E108" s="48">
        <f t="shared" si="12"/>
        <v>4.2</v>
      </c>
      <c r="F108" s="48">
        <f t="shared" si="12"/>
        <v>5.512499999999999</v>
      </c>
      <c r="G108" s="48">
        <f t="shared" si="12"/>
        <v>1.8</v>
      </c>
      <c r="H108" s="48">
        <f t="shared" si="12"/>
        <v>0.6</v>
      </c>
      <c r="I108" s="48">
        <f t="shared" si="12"/>
        <v>0.7875</v>
      </c>
    </row>
    <row r="109" spans="1:9" ht="12" customHeight="1">
      <c r="A109" s="82"/>
      <c r="B109" s="4">
        <v>1000</v>
      </c>
      <c r="C109" s="5" t="s">
        <v>19</v>
      </c>
      <c r="D109" s="48">
        <f t="shared" si="11"/>
        <v>18</v>
      </c>
      <c r="E109" s="48">
        <f t="shared" si="12"/>
        <v>6</v>
      </c>
      <c r="F109" s="48">
        <f t="shared" si="12"/>
        <v>7.874999999999998</v>
      </c>
      <c r="G109" s="48">
        <f t="shared" si="12"/>
        <v>2.5714285714285716</v>
      </c>
      <c r="H109" s="48">
        <f t="shared" si="12"/>
        <v>0.8571428571428572</v>
      </c>
      <c r="I109" s="48">
        <f t="shared" si="12"/>
        <v>1.125</v>
      </c>
    </row>
    <row r="110" spans="1:9" ht="12" customHeight="1">
      <c r="A110" s="82"/>
      <c r="B110" s="4">
        <v>1500</v>
      </c>
      <c r="C110" s="5" t="s">
        <v>19</v>
      </c>
      <c r="D110" s="48">
        <f t="shared" si="11"/>
        <v>27.000000000000004</v>
      </c>
      <c r="E110" s="48">
        <f t="shared" si="12"/>
        <v>9</v>
      </c>
      <c r="F110" s="48">
        <f t="shared" si="12"/>
        <v>11.812499999999998</v>
      </c>
      <c r="G110" s="48">
        <f t="shared" si="12"/>
        <v>3.857142857142857</v>
      </c>
      <c r="H110" s="48">
        <f t="shared" si="12"/>
        <v>1.2857142857142858</v>
      </c>
      <c r="I110" s="48">
        <f t="shared" si="12"/>
        <v>1.6875000000000002</v>
      </c>
    </row>
    <row r="111" spans="1:9" ht="12" customHeight="1">
      <c r="A111" s="82"/>
      <c r="B111" s="4">
        <v>2000</v>
      </c>
      <c r="C111" s="5" t="s">
        <v>19</v>
      </c>
      <c r="D111" s="48">
        <f t="shared" si="11"/>
        <v>36</v>
      </c>
      <c r="E111" s="48">
        <f t="shared" si="12"/>
        <v>12</v>
      </c>
      <c r="F111" s="48">
        <f t="shared" si="12"/>
        <v>15.749999999999996</v>
      </c>
      <c r="G111" s="48">
        <f t="shared" si="12"/>
        <v>5.142857142857143</v>
      </c>
      <c r="H111" s="48">
        <f t="shared" si="12"/>
        <v>1.7142857142857144</v>
      </c>
      <c r="I111" s="48">
        <f t="shared" si="12"/>
        <v>2.25</v>
      </c>
    </row>
    <row r="112" spans="1:9" ht="12" customHeight="1">
      <c r="A112" s="82"/>
      <c r="B112" s="4">
        <v>3000</v>
      </c>
      <c r="C112" s="5" t="s">
        <v>19</v>
      </c>
      <c r="D112" s="48">
        <f t="shared" si="11"/>
        <v>54.00000000000001</v>
      </c>
      <c r="E112" s="48">
        <f t="shared" si="12"/>
        <v>18</v>
      </c>
      <c r="F112" s="48">
        <f t="shared" si="12"/>
        <v>23.624999999999996</v>
      </c>
      <c r="G112" s="48">
        <f t="shared" si="12"/>
        <v>7.714285714285714</v>
      </c>
      <c r="H112" s="48">
        <f t="shared" si="12"/>
        <v>2.5714285714285716</v>
      </c>
      <c r="I112" s="48">
        <f t="shared" si="12"/>
        <v>3.3750000000000004</v>
      </c>
    </row>
    <row r="113" spans="1:9" ht="12" customHeight="1">
      <c r="A113" s="82"/>
      <c r="B113" s="4">
        <v>4000</v>
      </c>
      <c r="C113" s="5" t="s">
        <v>19</v>
      </c>
      <c r="D113" s="48">
        <f t="shared" si="11"/>
        <v>72</v>
      </c>
      <c r="E113" s="48">
        <f t="shared" si="12"/>
        <v>24</v>
      </c>
      <c r="F113" s="48">
        <f t="shared" si="12"/>
        <v>31.499999999999993</v>
      </c>
      <c r="G113" s="48">
        <f t="shared" si="12"/>
        <v>10.285714285714286</v>
      </c>
      <c r="H113" s="48">
        <f t="shared" si="12"/>
        <v>3.428571428571429</v>
      </c>
      <c r="I113" s="48">
        <f t="shared" si="12"/>
        <v>4.5</v>
      </c>
    </row>
    <row r="114" spans="1:9" ht="12" customHeight="1">
      <c r="A114" s="82"/>
      <c r="B114" s="4">
        <v>5000</v>
      </c>
      <c r="C114" s="5" t="s">
        <v>19</v>
      </c>
      <c r="D114" s="48">
        <f t="shared" si="11"/>
        <v>90.00000000000001</v>
      </c>
      <c r="E114" s="48">
        <f t="shared" si="12"/>
        <v>30.000000000000004</v>
      </c>
      <c r="F114" s="48">
        <f t="shared" si="12"/>
        <v>39.37499999999999</v>
      </c>
      <c r="G114" s="48">
        <f t="shared" si="12"/>
        <v>12.85714285714286</v>
      </c>
      <c r="H114" s="48">
        <f t="shared" si="12"/>
        <v>4.2857142857142865</v>
      </c>
      <c r="I114" s="48">
        <f t="shared" si="12"/>
        <v>5.625000000000001</v>
      </c>
    </row>
    <row r="115" spans="1:9" ht="12" customHeight="1">
      <c r="A115" s="82"/>
      <c r="B115" s="4">
        <v>7000</v>
      </c>
      <c r="C115" s="5" t="s">
        <v>19</v>
      </c>
      <c r="D115" s="48">
        <f t="shared" si="11"/>
        <v>126.00000000000001</v>
      </c>
      <c r="E115" s="48">
        <f t="shared" si="12"/>
        <v>42</v>
      </c>
      <c r="F115" s="48">
        <f t="shared" si="12"/>
        <v>55.12499999999999</v>
      </c>
      <c r="G115" s="48">
        <f t="shared" si="12"/>
        <v>18</v>
      </c>
      <c r="H115" s="48">
        <f t="shared" si="12"/>
        <v>6</v>
      </c>
      <c r="I115" s="48">
        <f t="shared" si="12"/>
        <v>7.875000000000001</v>
      </c>
    </row>
    <row r="116" spans="1:9" ht="12" customHeight="1">
      <c r="A116" s="82"/>
      <c r="B116" s="4">
        <v>10000</v>
      </c>
      <c r="C116" s="5" t="s">
        <v>19</v>
      </c>
      <c r="D116" s="48">
        <f t="shared" si="11"/>
        <v>180.00000000000003</v>
      </c>
      <c r="E116" s="48">
        <f t="shared" si="12"/>
        <v>60.00000000000001</v>
      </c>
      <c r="F116" s="48">
        <f t="shared" si="12"/>
        <v>78.74999999999999</v>
      </c>
      <c r="G116" s="48">
        <f t="shared" si="12"/>
        <v>25.71428571428572</v>
      </c>
      <c r="H116" s="48">
        <f t="shared" si="12"/>
        <v>8.571428571428573</v>
      </c>
      <c r="I116" s="48">
        <f t="shared" si="12"/>
        <v>11.250000000000002</v>
      </c>
    </row>
    <row r="117" spans="1:9" ht="12" customHeight="1">
      <c r="A117" s="82"/>
      <c r="B117" s="4">
        <v>15000</v>
      </c>
      <c r="C117" s="5" t="s">
        <v>19</v>
      </c>
      <c r="D117" s="48">
        <f t="shared" si="11"/>
        <v>270.00000000000006</v>
      </c>
      <c r="E117" s="48">
        <f t="shared" si="12"/>
        <v>90.00000000000001</v>
      </c>
      <c r="F117" s="48">
        <f t="shared" si="12"/>
        <v>118.12499999999999</v>
      </c>
      <c r="G117" s="48">
        <f t="shared" si="12"/>
        <v>38.57142857142858</v>
      </c>
      <c r="H117" s="48">
        <f t="shared" si="12"/>
        <v>12.85714285714286</v>
      </c>
      <c r="I117" s="48">
        <f t="shared" si="12"/>
        <v>16.875000000000004</v>
      </c>
    </row>
    <row r="118" spans="1:9" ht="12" customHeight="1">
      <c r="A118" s="83"/>
      <c r="B118" s="4">
        <v>20000</v>
      </c>
      <c r="C118" s="5" t="s">
        <v>19</v>
      </c>
      <c r="D118" s="48">
        <f t="shared" si="11"/>
        <v>360.00000000000006</v>
      </c>
      <c r="E118" s="48">
        <f t="shared" si="12"/>
        <v>120.00000000000001</v>
      </c>
      <c r="F118" s="48">
        <f t="shared" si="12"/>
        <v>157.49999999999997</v>
      </c>
      <c r="G118" s="48">
        <f t="shared" si="12"/>
        <v>51.42857142857144</v>
      </c>
      <c r="H118" s="48">
        <f t="shared" si="12"/>
        <v>17.142857142857146</v>
      </c>
      <c r="I118" s="48">
        <f t="shared" si="12"/>
        <v>22.500000000000004</v>
      </c>
    </row>
    <row r="119" spans="1:9" ht="12" customHeight="1">
      <c r="A119" s="81" t="s">
        <v>119</v>
      </c>
      <c r="B119" s="4">
        <v>20</v>
      </c>
      <c r="C119" s="5" t="s">
        <v>19</v>
      </c>
      <c r="D119" s="52">
        <f aca="true" t="shared" si="13" ref="D119:I128">IF(D$19="","",1/(2*PI()*$B97*D$19/1000000))</f>
        <v>112.5</v>
      </c>
      <c r="E119" s="52">
        <f t="shared" si="13"/>
        <v>257.1428571428572</v>
      </c>
      <c r="F119" s="52">
        <f t="shared" si="13"/>
        <v>85.71428571428574</v>
      </c>
      <c r="G119" s="52">
        <f t="shared" si="13"/>
        <v>787.5</v>
      </c>
      <c r="H119" s="52">
        <f t="shared" si="13"/>
        <v>1800</v>
      </c>
      <c r="I119" s="52">
        <f t="shared" si="13"/>
        <v>600</v>
      </c>
    </row>
    <row r="120" spans="1:9" ht="12" customHeight="1">
      <c r="A120" s="82"/>
      <c r="B120" s="4">
        <v>30</v>
      </c>
      <c r="C120" s="5" t="s">
        <v>19</v>
      </c>
      <c r="D120" s="52">
        <f t="shared" si="13"/>
        <v>75.00000000000001</v>
      </c>
      <c r="E120" s="52">
        <f t="shared" si="13"/>
        <v>171.4285714285715</v>
      </c>
      <c r="F120" s="52">
        <f t="shared" si="13"/>
        <v>57.142857142857174</v>
      </c>
      <c r="G120" s="52">
        <f t="shared" si="13"/>
        <v>525.0000000000001</v>
      </c>
      <c r="H120" s="52">
        <f t="shared" si="13"/>
        <v>1200.0000000000002</v>
      </c>
      <c r="I120" s="52">
        <f t="shared" si="13"/>
        <v>400</v>
      </c>
    </row>
    <row r="121" spans="1:9" ht="12" customHeight="1">
      <c r="A121" s="82"/>
      <c r="B121" s="4">
        <v>40</v>
      </c>
      <c r="C121" s="5" t="s">
        <v>19</v>
      </c>
      <c r="D121" s="52">
        <f t="shared" si="13"/>
        <v>56.25</v>
      </c>
      <c r="E121" s="52">
        <f t="shared" si="13"/>
        <v>128.5714285714286</v>
      </c>
      <c r="F121" s="52">
        <f t="shared" si="13"/>
        <v>42.85714285714287</v>
      </c>
      <c r="G121" s="52">
        <f t="shared" si="13"/>
        <v>393.75</v>
      </c>
      <c r="H121" s="52">
        <f t="shared" si="13"/>
        <v>900</v>
      </c>
      <c r="I121" s="52">
        <f t="shared" si="13"/>
        <v>300</v>
      </c>
    </row>
    <row r="122" spans="1:9" ht="12" customHeight="1">
      <c r="A122" s="82"/>
      <c r="B122" s="4">
        <v>50</v>
      </c>
      <c r="C122" s="5" t="s">
        <v>19</v>
      </c>
      <c r="D122" s="52">
        <f t="shared" si="13"/>
        <v>45</v>
      </c>
      <c r="E122" s="52">
        <f t="shared" si="13"/>
        <v>102.85714285714288</v>
      </c>
      <c r="F122" s="52">
        <f t="shared" si="13"/>
        <v>34.28571428571429</v>
      </c>
      <c r="G122" s="52">
        <f t="shared" si="13"/>
        <v>314.99999999999994</v>
      </c>
      <c r="H122" s="52">
        <f t="shared" si="13"/>
        <v>720</v>
      </c>
      <c r="I122" s="52">
        <f t="shared" si="13"/>
        <v>240</v>
      </c>
    </row>
    <row r="123" spans="1:9" ht="12" customHeight="1">
      <c r="A123" s="82"/>
      <c r="B123" s="4">
        <v>70</v>
      </c>
      <c r="C123" s="5" t="s">
        <v>19</v>
      </c>
      <c r="D123" s="52">
        <f t="shared" si="13"/>
        <v>32.142857142857146</v>
      </c>
      <c r="E123" s="52">
        <f t="shared" si="13"/>
        <v>73.46938775510206</v>
      </c>
      <c r="F123" s="52">
        <f t="shared" si="13"/>
        <v>24.489795918367356</v>
      </c>
      <c r="G123" s="52">
        <f t="shared" si="13"/>
        <v>225</v>
      </c>
      <c r="H123" s="52">
        <f t="shared" si="13"/>
        <v>514.2857142857143</v>
      </c>
      <c r="I123" s="52">
        <f t="shared" si="13"/>
        <v>171.42857142857144</v>
      </c>
    </row>
    <row r="124" spans="1:9" ht="12" customHeight="1">
      <c r="A124" s="82"/>
      <c r="B124" s="4">
        <v>100</v>
      </c>
      <c r="C124" s="5" t="s">
        <v>19</v>
      </c>
      <c r="D124" s="52">
        <f t="shared" si="13"/>
        <v>22.5</v>
      </c>
      <c r="E124" s="52">
        <f t="shared" si="13"/>
        <v>51.42857142857144</v>
      </c>
      <c r="F124" s="52">
        <f t="shared" si="13"/>
        <v>17.142857142857146</v>
      </c>
      <c r="G124" s="52">
        <f t="shared" si="13"/>
        <v>157.49999999999997</v>
      </c>
      <c r="H124" s="52">
        <f t="shared" si="13"/>
        <v>360</v>
      </c>
      <c r="I124" s="52">
        <f t="shared" si="13"/>
        <v>120</v>
      </c>
    </row>
    <row r="125" spans="1:9" ht="12" customHeight="1">
      <c r="A125" s="82"/>
      <c r="B125" s="4">
        <v>150</v>
      </c>
      <c r="C125" s="5" t="s">
        <v>19</v>
      </c>
      <c r="D125" s="52">
        <f t="shared" si="13"/>
        <v>15.000000000000004</v>
      </c>
      <c r="E125" s="52">
        <f t="shared" si="13"/>
        <v>34.2857142857143</v>
      </c>
      <c r="F125" s="52">
        <f t="shared" si="13"/>
        <v>11.428571428571432</v>
      </c>
      <c r="G125" s="52">
        <f t="shared" si="13"/>
        <v>104.99999999999999</v>
      </c>
      <c r="H125" s="52">
        <f t="shared" si="13"/>
        <v>240.00000000000006</v>
      </c>
      <c r="I125" s="52">
        <f t="shared" si="13"/>
        <v>80</v>
      </c>
    </row>
    <row r="126" spans="1:9" ht="12" customHeight="1">
      <c r="A126" s="82"/>
      <c r="B126" s="4">
        <v>200</v>
      </c>
      <c r="C126" s="5" t="s">
        <v>19</v>
      </c>
      <c r="D126" s="52">
        <f t="shared" si="13"/>
        <v>11.25</v>
      </c>
      <c r="E126" s="52">
        <f t="shared" si="13"/>
        <v>25.71428571428572</v>
      </c>
      <c r="F126" s="52">
        <f t="shared" si="13"/>
        <v>8.571428571428573</v>
      </c>
      <c r="G126" s="52">
        <f t="shared" si="13"/>
        <v>78.74999999999999</v>
      </c>
      <c r="H126" s="52">
        <f t="shared" si="13"/>
        <v>180</v>
      </c>
      <c r="I126" s="52">
        <f t="shared" si="13"/>
        <v>60</v>
      </c>
    </row>
    <row r="127" spans="1:9" ht="12" customHeight="1">
      <c r="A127" s="82"/>
      <c r="B127" s="4">
        <v>300</v>
      </c>
      <c r="C127" s="5" t="s">
        <v>19</v>
      </c>
      <c r="D127" s="52">
        <f t="shared" si="13"/>
        <v>7.500000000000002</v>
      </c>
      <c r="E127" s="52">
        <f t="shared" si="13"/>
        <v>17.14285714285715</v>
      </c>
      <c r="F127" s="52">
        <f t="shared" si="13"/>
        <v>5.714285714285716</v>
      </c>
      <c r="G127" s="52">
        <f t="shared" si="13"/>
        <v>52.49999999999999</v>
      </c>
      <c r="H127" s="52">
        <f t="shared" si="13"/>
        <v>120.00000000000003</v>
      </c>
      <c r="I127" s="52">
        <f t="shared" si="13"/>
        <v>40</v>
      </c>
    </row>
    <row r="128" spans="1:9" ht="12" customHeight="1">
      <c r="A128" s="82"/>
      <c r="B128" s="4">
        <v>400</v>
      </c>
      <c r="C128" s="5" t="s">
        <v>19</v>
      </c>
      <c r="D128" s="52">
        <f t="shared" si="13"/>
        <v>5.625</v>
      </c>
      <c r="E128" s="52">
        <f t="shared" si="13"/>
        <v>12.85714285714286</v>
      </c>
      <c r="F128" s="52">
        <f t="shared" si="13"/>
        <v>4.2857142857142865</v>
      </c>
      <c r="G128" s="52">
        <f t="shared" si="13"/>
        <v>39.37499999999999</v>
      </c>
      <c r="H128" s="52">
        <f t="shared" si="13"/>
        <v>90</v>
      </c>
      <c r="I128" s="52">
        <f t="shared" si="13"/>
        <v>30</v>
      </c>
    </row>
    <row r="129" spans="1:9" ht="12" customHeight="1">
      <c r="A129" s="82"/>
      <c r="B129" s="4">
        <v>500</v>
      </c>
      <c r="C129" s="5" t="s">
        <v>19</v>
      </c>
      <c r="D129" s="52">
        <f aca="true" t="shared" si="14" ref="D129:I138">IF(D$19="","",1/(2*PI()*$B107*D$19/1000000))</f>
        <v>4.500000000000001</v>
      </c>
      <c r="E129" s="52">
        <f t="shared" si="14"/>
        <v>10.285714285714288</v>
      </c>
      <c r="F129" s="52">
        <f t="shared" si="14"/>
        <v>3.4285714285714297</v>
      </c>
      <c r="G129" s="52">
        <f t="shared" si="14"/>
        <v>31.5</v>
      </c>
      <c r="H129" s="52">
        <f t="shared" si="14"/>
        <v>72.00000000000001</v>
      </c>
      <c r="I129" s="52">
        <f t="shared" si="14"/>
        <v>24</v>
      </c>
    </row>
    <row r="130" spans="1:9" ht="12" customHeight="1">
      <c r="A130" s="82"/>
      <c r="B130" s="4">
        <v>700</v>
      </c>
      <c r="C130" s="5" t="s">
        <v>19</v>
      </c>
      <c r="D130" s="52">
        <f t="shared" si="14"/>
        <v>3.214285714285715</v>
      </c>
      <c r="E130" s="52">
        <f t="shared" si="14"/>
        <v>7.346938775510206</v>
      </c>
      <c r="F130" s="52">
        <f t="shared" si="14"/>
        <v>2.448979591836735</v>
      </c>
      <c r="G130" s="52">
        <f t="shared" si="14"/>
        <v>22.5</v>
      </c>
      <c r="H130" s="52">
        <f t="shared" si="14"/>
        <v>51.42857142857144</v>
      </c>
      <c r="I130" s="52">
        <f t="shared" si="14"/>
        <v>17.142857142857146</v>
      </c>
    </row>
    <row r="131" spans="1:9" ht="12" customHeight="1">
      <c r="A131" s="82"/>
      <c r="B131" s="4" t="s">
        <v>21</v>
      </c>
      <c r="C131" s="5" t="s">
        <v>19</v>
      </c>
      <c r="D131" s="52">
        <f t="shared" si="14"/>
        <v>2.2500000000000004</v>
      </c>
      <c r="E131" s="52">
        <f t="shared" si="14"/>
        <v>5.142857142857144</v>
      </c>
      <c r="F131" s="52">
        <f t="shared" si="14"/>
        <v>1.7142857142857149</v>
      </c>
      <c r="G131" s="52">
        <f t="shared" si="14"/>
        <v>15.75</v>
      </c>
      <c r="H131" s="52">
        <f t="shared" si="14"/>
        <v>36.00000000000001</v>
      </c>
      <c r="I131" s="52">
        <f t="shared" si="14"/>
        <v>12</v>
      </c>
    </row>
    <row r="132" spans="1:9" ht="12" customHeight="1">
      <c r="A132" s="82"/>
      <c r="B132" s="4" t="s">
        <v>22</v>
      </c>
      <c r="C132" s="5" t="s">
        <v>19</v>
      </c>
      <c r="D132" s="52">
        <f t="shared" si="14"/>
        <v>1.5</v>
      </c>
      <c r="E132" s="52">
        <f t="shared" si="14"/>
        <v>3.4285714285714297</v>
      </c>
      <c r="F132" s="52">
        <f t="shared" si="14"/>
        <v>1.1428571428571432</v>
      </c>
      <c r="G132" s="52">
        <f t="shared" si="14"/>
        <v>10.5</v>
      </c>
      <c r="H132" s="52">
        <f t="shared" si="14"/>
        <v>24</v>
      </c>
      <c r="I132" s="52">
        <f t="shared" si="14"/>
        <v>8</v>
      </c>
    </row>
    <row r="133" spans="1:9" ht="12" customHeight="1">
      <c r="A133" s="82"/>
      <c r="B133" s="4" t="s">
        <v>23</v>
      </c>
      <c r="C133" s="5" t="s">
        <v>19</v>
      </c>
      <c r="D133" s="52">
        <f t="shared" si="14"/>
        <v>1.1250000000000002</v>
      </c>
      <c r="E133" s="52">
        <f t="shared" si="14"/>
        <v>2.571428571428572</v>
      </c>
      <c r="F133" s="52">
        <f t="shared" si="14"/>
        <v>0.8571428571428574</v>
      </c>
      <c r="G133" s="52">
        <f t="shared" si="14"/>
        <v>7.875</v>
      </c>
      <c r="H133" s="52">
        <f t="shared" si="14"/>
        <v>18.000000000000004</v>
      </c>
      <c r="I133" s="52">
        <f t="shared" si="14"/>
        <v>6</v>
      </c>
    </row>
    <row r="134" spans="1:9" ht="12" customHeight="1">
      <c r="A134" s="82"/>
      <c r="B134" s="4" t="s">
        <v>24</v>
      </c>
      <c r="C134" s="5" t="s">
        <v>19</v>
      </c>
      <c r="D134" s="52">
        <f t="shared" si="14"/>
        <v>0.75</v>
      </c>
      <c r="E134" s="52">
        <f t="shared" si="14"/>
        <v>1.7142857142857149</v>
      </c>
      <c r="F134" s="52">
        <f t="shared" si="14"/>
        <v>0.5714285714285716</v>
      </c>
      <c r="G134" s="52">
        <f t="shared" si="14"/>
        <v>5.25</v>
      </c>
      <c r="H134" s="52">
        <f t="shared" si="14"/>
        <v>12</v>
      </c>
      <c r="I134" s="52">
        <f t="shared" si="14"/>
        <v>4</v>
      </c>
    </row>
    <row r="135" spans="1:9" ht="12" customHeight="1">
      <c r="A135" s="82"/>
      <c r="B135" s="4" t="s">
        <v>25</v>
      </c>
      <c r="C135" s="5" t="s">
        <v>19</v>
      </c>
      <c r="D135" s="52">
        <f t="shared" si="14"/>
        <v>0.5625000000000001</v>
      </c>
      <c r="E135" s="52">
        <f t="shared" si="14"/>
        <v>1.285714285714286</v>
      </c>
      <c r="F135" s="52">
        <f t="shared" si="14"/>
        <v>0.4285714285714287</v>
      </c>
      <c r="G135" s="52">
        <f t="shared" si="14"/>
        <v>3.9375</v>
      </c>
      <c r="H135" s="52">
        <f t="shared" si="14"/>
        <v>9.000000000000002</v>
      </c>
      <c r="I135" s="52">
        <f t="shared" si="14"/>
        <v>3</v>
      </c>
    </row>
    <row r="136" spans="1:9" ht="12" customHeight="1">
      <c r="A136" s="82"/>
      <c r="B136" s="4" t="s">
        <v>26</v>
      </c>
      <c r="C136" s="5" t="s">
        <v>19</v>
      </c>
      <c r="D136" s="52">
        <f t="shared" si="14"/>
        <v>0.45000000000000007</v>
      </c>
      <c r="E136" s="52">
        <f t="shared" si="14"/>
        <v>1.028571428571429</v>
      </c>
      <c r="F136" s="52">
        <f t="shared" si="14"/>
        <v>0.3428571428571429</v>
      </c>
      <c r="G136" s="52">
        <f t="shared" si="14"/>
        <v>3.1500000000000004</v>
      </c>
      <c r="H136" s="52">
        <f t="shared" si="14"/>
        <v>7.200000000000001</v>
      </c>
      <c r="I136" s="52">
        <f t="shared" si="14"/>
        <v>2.4</v>
      </c>
    </row>
    <row r="137" spans="1:9" ht="12" customHeight="1">
      <c r="A137" s="82"/>
      <c r="B137" s="4" t="s">
        <v>27</v>
      </c>
      <c r="C137" s="5" t="s">
        <v>19</v>
      </c>
      <c r="D137" s="52">
        <f t="shared" si="14"/>
        <v>0.32142857142857145</v>
      </c>
      <c r="E137" s="52">
        <f t="shared" si="14"/>
        <v>0.7346938775510207</v>
      </c>
      <c r="F137" s="52">
        <f t="shared" si="14"/>
        <v>0.24489795918367355</v>
      </c>
      <c r="G137" s="52">
        <f t="shared" si="14"/>
        <v>2.25</v>
      </c>
      <c r="H137" s="52">
        <f t="shared" si="14"/>
        <v>5.142857142857143</v>
      </c>
      <c r="I137" s="52">
        <f t="shared" si="14"/>
        <v>1.7142857142857142</v>
      </c>
    </row>
    <row r="138" spans="1:9" ht="12" customHeight="1">
      <c r="A138" s="82"/>
      <c r="B138" s="4" t="s">
        <v>28</v>
      </c>
      <c r="C138" s="5" t="s">
        <v>19</v>
      </c>
      <c r="D138" s="52">
        <f t="shared" si="14"/>
        <v>0.22500000000000003</v>
      </c>
      <c r="E138" s="52">
        <f t="shared" si="14"/>
        <v>0.5142857142857145</v>
      </c>
      <c r="F138" s="52">
        <f t="shared" si="14"/>
        <v>0.17142857142857146</v>
      </c>
      <c r="G138" s="52">
        <f t="shared" si="14"/>
        <v>1.5750000000000002</v>
      </c>
      <c r="H138" s="52">
        <f t="shared" si="14"/>
        <v>3.6000000000000005</v>
      </c>
      <c r="I138" s="52">
        <f t="shared" si="14"/>
        <v>1.2</v>
      </c>
    </row>
    <row r="139" spans="1:9" ht="12" customHeight="1">
      <c r="A139" s="82"/>
      <c r="B139" s="4" t="s">
        <v>29</v>
      </c>
      <c r="C139" s="5" t="s">
        <v>19</v>
      </c>
      <c r="D139" s="52">
        <f aca="true" t="shared" si="15" ref="D139:I139">IF(D$19="","",1/(2*PI()*$B117*D$19/1000000))</f>
        <v>0.15000000000000002</v>
      </c>
      <c r="E139" s="52">
        <f t="shared" si="15"/>
        <v>0.3428571428571429</v>
      </c>
      <c r="F139" s="52">
        <f t="shared" si="15"/>
        <v>0.11428571428571431</v>
      </c>
      <c r="G139" s="52">
        <f t="shared" si="15"/>
        <v>1.05</v>
      </c>
      <c r="H139" s="52">
        <f t="shared" si="15"/>
        <v>2.4000000000000004</v>
      </c>
      <c r="I139" s="52">
        <f t="shared" si="15"/>
        <v>0.8</v>
      </c>
    </row>
    <row r="140" spans="1:9" ht="12" customHeight="1">
      <c r="A140" s="83"/>
      <c r="B140" s="4" t="s">
        <v>30</v>
      </c>
      <c r="C140" s="5" t="s">
        <v>19</v>
      </c>
      <c r="D140" s="52">
        <f aca="true" t="shared" si="16" ref="D140:I140">IF(D$19="","",1/(2*PI()*$B118*D$19/1000000))</f>
        <v>0.11250000000000002</v>
      </c>
      <c r="E140" s="52">
        <f t="shared" si="16"/>
        <v>0.25714285714285723</v>
      </c>
      <c r="F140" s="52">
        <f t="shared" si="16"/>
        <v>0.08571428571428573</v>
      </c>
      <c r="G140" s="52">
        <f t="shared" si="16"/>
        <v>0.7875000000000001</v>
      </c>
      <c r="H140" s="52">
        <f t="shared" si="16"/>
        <v>1.8000000000000003</v>
      </c>
      <c r="I140" s="52">
        <f t="shared" si="16"/>
        <v>0.6</v>
      </c>
    </row>
    <row r="141" spans="1:9" ht="12" customHeight="1">
      <c r="A141" s="81" t="s">
        <v>176</v>
      </c>
      <c r="B141" s="4">
        <v>20</v>
      </c>
      <c r="C141" s="5" t="s">
        <v>19</v>
      </c>
      <c r="D141" s="2" t="s">
        <v>0</v>
      </c>
      <c r="E141" s="49">
        <f>G97-E119</f>
        <v>-257.09142857142865</v>
      </c>
      <c r="F141" s="49">
        <f>H97-F119</f>
        <v>-85.69714285714288</v>
      </c>
      <c r="G141" s="49">
        <f>IF(G119=F97,10^6,G119*F97/(G119-F97))</f>
        <v>0.15753150630126023</v>
      </c>
      <c r="H141" s="2"/>
      <c r="I141" s="2"/>
    </row>
    <row r="142" spans="1:9" ht="12" customHeight="1">
      <c r="A142" s="82"/>
      <c r="B142" s="4">
        <v>30</v>
      </c>
      <c r="C142" s="5" t="s">
        <v>19</v>
      </c>
      <c r="D142" s="2" t="s">
        <v>0</v>
      </c>
      <c r="E142" s="49">
        <f aca="true" t="shared" si="17" ref="E142:E162">G98-E120</f>
        <v>-171.35142857142864</v>
      </c>
      <c r="F142" s="49">
        <f aca="true" t="shared" si="18" ref="F142:F162">H98-F120</f>
        <v>-57.11714285714289</v>
      </c>
      <c r="G142" s="49">
        <f aca="true" t="shared" si="19" ref="G142:G162">IF(G120=F98,10^6,G120*F98/(G120-F98))</f>
        <v>0.23635636036216295</v>
      </c>
      <c r="H142" s="2"/>
      <c r="I142" s="2"/>
    </row>
    <row r="143" spans="1:9" ht="12" customHeight="1">
      <c r="A143" s="82"/>
      <c r="B143" s="4">
        <v>40</v>
      </c>
      <c r="C143" s="5" t="s">
        <v>19</v>
      </c>
      <c r="D143" s="2" t="s">
        <v>0</v>
      </c>
      <c r="E143" s="49">
        <f t="shared" si="17"/>
        <v>-128.46857142857147</v>
      </c>
      <c r="F143" s="49">
        <f t="shared" si="18"/>
        <v>-42.82285714285715</v>
      </c>
      <c r="G143" s="49">
        <f t="shared" si="19"/>
        <v>0.3152522017614091</v>
      </c>
      <c r="H143" s="2"/>
      <c r="I143" s="2"/>
    </row>
    <row r="144" spans="1:9" ht="12" customHeight="1">
      <c r="A144" s="82"/>
      <c r="B144" s="4">
        <v>50</v>
      </c>
      <c r="C144" s="5" t="s">
        <v>19</v>
      </c>
      <c r="D144" s="2" t="s">
        <v>0</v>
      </c>
      <c r="E144" s="49">
        <f t="shared" si="17"/>
        <v>-102.72857142857144</v>
      </c>
      <c r="F144" s="49">
        <f t="shared" si="18"/>
        <v>-34.24285714285715</v>
      </c>
      <c r="G144" s="49">
        <f t="shared" si="19"/>
        <v>0.3942428035043804</v>
      </c>
      <c r="H144" s="2"/>
      <c r="I144" s="2"/>
    </row>
    <row r="145" spans="1:9" ht="12" customHeight="1">
      <c r="A145" s="82"/>
      <c r="B145" s="4">
        <v>70</v>
      </c>
      <c r="C145" s="5" t="s">
        <v>19</v>
      </c>
      <c r="D145" s="2" t="s">
        <v>0</v>
      </c>
      <c r="E145" s="49">
        <f t="shared" si="17"/>
        <v>-73.28938775510206</v>
      </c>
      <c r="F145" s="49">
        <f t="shared" si="18"/>
        <v>-24.429795918367358</v>
      </c>
      <c r="G145" s="49">
        <f t="shared" si="19"/>
        <v>0.5526038795047867</v>
      </c>
      <c r="H145" s="2"/>
      <c r="I145" s="2"/>
    </row>
    <row r="146" spans="1:9" ht="12" customHeight="1">
      <c r="A146" s="82"/>
      <c r="B146" s="4">
        <v>100</v>
      </c>
      <c r="C146" s="5" t="s">
        <v>19</v>
      </c>
      <c r="D146" s="2" t="s">
        <v>0</v>
      </c>
      <c r="E146" s="49">
        <f t="shared" si="17"/>
        <v>-51.17142857142858</v>
      </c>
      <c r="F146" s="49">
        <f t="shared" si="18"/>
        <v>-17.05714285714286</v>
      </c>
      <c r="G146" s="49">
        <f t="shared" si="19"/>
        <v>0.7914572864321606</v>
      </c>
      <c r="H146" s="2"/>
      <c r="I146" s="2"/>
    </row>
    <row r="147" spans="1:9" ht="12" customHeight="1">
      <c r="A147" s="82"/>
      <c r="B147" s="4">
        <v>150</v>
      </c>
      <c r="C147" s="5" t="s">
        <v>19</v>
      </c>
      <c r="D147" s="2" t="s">
        <v>0</v>
      </c>
      <c r="E147" s="49">
        <f t="shared" si="17"/>
        <v>-33.90000000000001</v>
      </c>
      <c r="F147" s="49">
        <f t="shared" si="18"/>
        <v>-11.300000000000004</v>
      </c>
      <c r="G147" s="49">
        <f t="shared" si="19"/>
        <v>1.1946902654867255</v>
      </c>
      <c r="H147" s="2"/>
      <c r="I147" s="2"/>
    </row>
    <row r="148" spans="1:9" ht="12" customHeight="1">
      <c r="A148" s="82"/>
      <c r="B148" s="4">
        <v>200</v>
      </c>
      <c r="C148" s="5" t="s">
        <v>19</v>
      </c>
      <c r="D148" s="2" t="s">
        <v>0</v>
      </c>
      <c r="E148" s="49">
        <f t="shared" si="17"/>
        <v>-25.200000000000003</v>
      </c>
      <c r="F148" s="49">
        <f t="shared" si="18"/>
        <v>-8.400000000000002</v>
      </c>
      <c r="G148" s="49">
        <f t="shared" si="19"/>
        <v>1.607142857142857</v>
      </c>
      <c r="H148" s="2"/>
      <c r="I148" s="2"/>
    </row>
    <row r="149" spans="1:9" ht="12" customHeight="1">
      <c r="A149" s="82"/>
      <c r="B149" s="4">
        <v>300</v>
      </c>
      <c r="C149" s="5" t="s">
        <v>19</v>
      </c>
      <c r="D149" s="2" t="s">
        <v>0</v>
      </c>
      <c r="E149" s="49">
        <f t="shared" si="17"/>
        <v>-16.371428571428577</v>
      </c>
      <c r="F149" s="49">
        <f t="shared" si="18"/>
        <v>-5.457142857142859</v>
      </c>
      <c r="G149" s="49">
        <f t="shared" si="19"/>
        <v>2.473821989528795</v>
      </c>
      <c r="H149" s="2"/>
      <c r="I149" s="2"/>
    </row>
    <row r="150" spans="1:9" ht="12" customHeight="1">
      <c r="A150" s="82"/>
      <c r="B150" s="4">
        <v>400</v>
      </c>
      <c r="C150" s="5" t="s">
        <v>19</v>
      </c>
      <c r="D150" s="2" t="s">
        <v>0</v>
      </c>
      <c r="E150" s="49">
        <f t="shared" si="17"/>
        <v>-11.828571428571431</v>
      </c>
      <c r="F150" s="49">
        <f t="shared" si="18"/>
        <v>-3.9428571428571435</v>
      </c>
      <c r="G150" s="49">
        <f t="shared" si="19"/>
        <v>3.4239130434782603</v>
      </c>
      <c r="H150" s="2"/>
      <c r="I150" s="2"/>
    </row>
    <row r="151" spans="1:9" ht="12" customHeight="1">
      <c r="A151" s="82"/>
      <c r="B151" s="4">
        <v>500</v>
      </c>
      <c r="C151" s="5" t="s">
        <v>19</v>
      </c>
      <c r="D151" s="2" t="s">
        <v>0</v>
      </c>
      <c r="E151" s="49">
        <f t="shared" si="17"/>
        <v>-9.000000000000002</v>
      </c>
      <c r="F151" s="49">
        <f t="shared" si="18"/>
        <v>-3.000000000000001</v>
      </c>
      <c r="G151" s="49">
        <f t="shared" si="19"/>
        <v>4.499999999999999</v>
      </c>
      <c r="H151" s="2"/>
      <c r="I151" s="2"/>
    </row>
    <row r="152" spans="1:9" ht="12" customHeight="1">
      <c r="A152" s="82"/>
      <c r="B152" s="4">
        <v>700</v>
      </c>
      <c r="C152" s="5" t="s">
        <v>19</v>
      </c>
      <c r="D152" s="2" t="s">
        <v>0</v>
      </c>
      <c r="E152" s="49">
        <f t="shared" si="17"/>
        <v>-5.546938775510206</v>
      </c>
      <c r="F152" s="49">
        <f t="shared" si="18"/>
        <v>-1.848979591836735</v>
      </c>
      <c r="G152" s="49">
        <f t="shared" si="19"/>
        <v>7.301324503311257</v>
      </c>
      <c r="H152" s="2"/>
      <c r="I152" s="2"/>
    </row>
    <row r="153" spans="1:9" ht="12" customHeight="1">
      <c r="A153" s="82"/>
      <c r="B153" s="4">
        <v>1000</v>
      </c>
      <c r="C153" s="5" t="s">
        <v>19</v>
      </c>
      <c r="D153" s="2" t="s">
        <v>0</v>
      </c>
      <c r="E153" s="49">
        <f t="shared" si="17"/>
        <v>-2.5714285714285725</v>
      </c>
      <c r="F153" s="49">
        <f t="shared" si="18"/>
        <v>-0.8571428571428577</v>
      </c>
      <c r="G153" s="49">
        <f t="shared" si="19"/>
        <v>15.749999999999993</v>
      </c>
      <c r="H153" s="2"/>
      <c r="I153" s="2"/>
    </row>
    <row r="154" spans="1:9" ht="12" customHeight="1">
      <c r="A154" s="82"/>
      <c r="B154" s="4">
        <v>1500</v>
      </c>
      <c r="C154" s="5" t="s">
        <v>19</v>
      </c>
      <c r="D154" s="2" t="s">
        <v>0</v>
      </c>
      <c r="E154" s="49">
        <f t="shared" si="17"/>
        <v>0.4285714285714275</v>
      </c>
      <c r="F154" s="49">
        <f t="shared" si="18"/>
        <v>0.14285714285714257</v>
      </c>
      <c r="G154" s="49">
        <f t="shared" si="19"/>
        <v>-94.50000000000011</v>
      </c>
      <c r="H154" s="2"/>
      <c r="I154" s="2"/>
    </row>
    <row r="155" spans="1:9" ht="12" customHeight="1">
      <c r="A155" s="82"/>
      <c r="B155" s="4">
        <v>2000</v>
      </c>
      <c r="C155" s="5" t="s">
        <v>19</v>
      </c>
      <c r="D155" s="2" t="s">
        <v>0</v>
      </c>
      <c r="E155" s="49">
        <f t="shared" si="17"/>
        <v>2.571428571428571</v>
      </c>
      <c r="F155" s="49">
        <f t="shared" si="18"/>
        <v>0.857142857142857</v>
      </c>
      <c r="G155" s="49">
        <f t="shared" si="19"/>
        <v>-15.750000000000004</v>
      </c>
      <c r="H155" s="2"/>
      <c r="I155" s="2"/>
    </row>
    <row r="156" spans="1:9" ht="12" customHeight="1">
      <c r="A156" s="82"/>
      <c r="B156" s="4">
        <v>3000</v>
      </c>
      <c r="C156" s="5" t="s">
        <v>19</v>
      </c>
      <c r="D156" s="2" t="s">
        <v>0</v>
      </c>
      <c r="E156" s="49">
        <f t="shared" si="17"/>
        <v>6</v>
      </c>
      <c r="F156" s="49">
        <f t="shared" si="18"/>
        <v>2</v>
      </c>
      <c r="G156" s="49">
        <f t="shared" si="19"/>
        <v>-6.750000000000001</v>
      </c>
      <c r="H156" s="2"/>
      <c r="I156" s="2"/>
    </row>
    <row r="157" spans="1:9" ht="12" customHeight="1">
      <c r="A157" s="82"/>
      <c r="B157" s="4">
        <v>4000</v>
      </c>
      <c r="C157" s="5" t="s">
        <v>19</v>
      </c>
      <c r="D157" s="2" t="s">
        <v>0</v>
      </c>
      <c r="E157" s="49">
        <f t="shared" si="17"/>
        <v>9</v>
      </c>
      <c r="F157" s="49">
        <f t="shared" si="18"/>
        <v>3</v>
      </c>
      <c r="G157" s="49">
        <f t="shared" si="19"/>
        <v>-4.5</v>
      </c>
      <c r="H157" s="2"/>
      <c r="I157" s="2"/>
    </row>
    <row r="158" spans="1:9" ht="12" customHeight="1">
      <c r="A158" s="82"/>
      <c r="B158" s="4">
        <v>5000</v>
      </c>
      <c r="C158" s="5" t="s">
        <v>19</v>
      </c>
      <c r="D158" s="2" t="s">
        <v>0</v>
      </c>
      <c r="E158" s="49">
        <f t="shared" si="17"/>
        <v>11.828571428571431</v>
      </c>
      <c r="F158" s="49">
        <f t="shared" si="18"/>
        <v>3.9428571428571435</v>
      </c>
      <c r="G158" s="49">
        <f t="shared" si="19"/>
        <v>-3.423913043478261</v>
      </c>
      <c r="H158" s="2"/>
      <c r="I158" s="2"/>
    </row>
    <row r="159" spans="1:9" ht="12" customHeight="1">
      <c r="A159" s="82"/>
      <c r="B159" s="4">
        <v>7000</v>
      </c>
      <c r="C159" s="5" t="s">
        <v>19</v>
      </c>
      <c r="D159" s="2" t="s">
        <v>0</v>
      </c>
      <c r="E159" s="49">
        <f t="shared" si="17"/>
        <v>17.26530612244898</v>
      </c>
      <c r="F159" s="49">
        <f t="shared" si="18"/>
        <v>5.755102040816326</v>
      </c>
      <c r="G159" s="49">
        <f t="shared" si="19"/>
        <v>-2.345744680851064</v>
      </c>
      <c r="H159" s="2"/>
      <c r="I159" s="2"/>
    </row>
    <row r="160" spans="1:9" ht="12" customHeight="1">
      <c r="A160" s="82"/>
      <c r="B160" s="4">
        <v>10000</v>
      </c>
      <c r="C160" s="5" t="s">
        <v>19</v>
      </c>
      <c r="D160" s="2" t="s">
        <v>0</v>
      </c>
      <c r="E160" s="49">
        <f t="shared" si="17"/>
        <v>25.200000000000003</v>
      </c>
      <c r="F160" s="49">
        <f t="shared" si="18"/>
        <v>8.400000000000002</v>
      </c>
      <c r="G160" s="49">
        <f t="shared" si="19"/>
        <v>-1.6071428571428572</v>
      </c>
      <c r="H160" s="2"/>
      <c r="I160" s="2"/>
    </row>
    <row r="161" spans="1:9" ht="12" customHeight="1">
      <c r="A161" s="82"/>
      <c r="B161" s="4">
        <v>15000</v>
      </c>
      <c r="C161" s="5" t="s">
        <v>19</v>
      </c>
      <c r="D161" s="2" t="s">
        <v>0</v>
      </c>
      <c r="E161" s="49">
        <f t="shared" si="17"/>
        <v>38.228571428571435</v>
      </c>
      <c r="F161" s="49">
        <f t="shared" si="18"/>
        <v>12.742857142857146</v>
      </c>
      <c r="G161" s="49">
        <f t="shared" si="19"/>
        <v>-1.0594170403587444</v>
      </c>
      <c r="H161" s="2"/>
      <c r="I161" s="2"/>
    </row>
    <row r="162" spans="1:9" ht="12" customHeight="1">
      <c r="A162" s="83"/>
      <c r="B162" s="4">
        <v>20000</v>
      </c>
      <c r="C162" s="5" t="s">
        <v>19</v>
      </c>
      <c r="D162" s="2" t="s">
        <v>0</v>
      </c>
      <c r="E162" s="49">
        <f t="shared" si="17"/>
        <v>51.17142857142858</v>
      </c>
      <c r="F162" s="49">
        <f t="shared" si="18"/>
        <v>17.05714285714286</v>
      </c>
      <c r="G162" s="49">
        <f t="shared" si="19"/>
        <v>-0.7914572864321608</v>
      </c>
      <c r="H162" s="2"/>
      <c r="I162" s="2"/>
    </row>
    <row r="163" spans="1:9" ht="12" customHeight="1">
      <c r="A163" s="81" t="s">
        <v>177</v>
      </c>
      <c r="B163" s="4">
        <v>20</v>
      </c>
      <c r="C163" s="5" t="s">
        <v>19</v>
      </c>
      <c r="D163" s="2" t="s">
        <v>74</v>
      </c>
      <c r="E163" s="50">
        <f>E$28*D119^2/((D97*D119-D97*E97+E97*D119)^2+E$28^2*(D97-D119)^2)</f>
        <v>0.166666665984</v>
      </c>
      <c r="F163" s="51">
        <f>F$28*G141^2/((E141*G141+E141*F141+F141*G141)^2+F$28^2*(E141+G141)^2)</f>
        <v>3.067455142216158E-10</v>
      </c>
      <c r="G163" s="51">
        <f>G$28*I97^2/((I97*H119+I97*I119-H119*I119)^2+G$28^2*(I97-H119)^2)</f>
        <v>2.604166666666626E-15</v>
      </c>
      <c r="H163" s="51"/>
      <c r="I163" s="51">
        <f>E163+F163+G163</f>
        <v>0.16666666629074814</v>
      </c>
    </row>
    <row r="164" spans="1:9" ht="12" customHeight="1">
      <c r="A164" s="82"/>
      <c r="B164" s="4">
        <v>30</v>
      </c>
      <c r="C164" s="5" t="s">
        <v>19</v>
      </c>
      <c r="D164" s="2" t="s">
        <v>74</v>
      </c>
      <c r="E164" s="50">
        <f aca="true" t="shared" si="20" ref="E164:E184">E$28*D120^2/((D98*D120-D98*E98+E98*D120)^2+E$28^2*(D98-D120)^2)</f>
        <v>0.16666665889066704</v>
      </c>
      <c r="F164" s="51">
        <f aca="true" t="shared" si="21" ref="F164:F184">F$28*G142^2/((E142*G142+E142*F142+F142*G142)^2+F$28^2*(E142+G142)^2)</f>
        <v>3.4992697298036744E-09</v>
      </c>
      <c r="G164" s="51">
        <f aca="true" t="shared" si="22" ref="G164:G184">G$28*I98^2/((I98*H120+I98*I120-H120*I120)^2+G$28^2*(I98-H120)^2)</f>
        <v>2.9663085937494704E-14</v>
      </c>
      <c r="H164" s="51"/>
      <c r="I164" s="51">
        <f aca="true" t="shared" si="23" ref="I164:I206">E164+F164+G164</f>
        <v>0.16666666238996644</v>
      </c>
    </row>
    <row r="165" spans="1:9" ht="12" customHeight="1">
      <c r="A165" s="82"/>
      <c r="B165" s="4">
        <v>40</v>
      </c>
      <c r="C165" s="5" t="s">
        <v>19</v>
      </c>
      <c r="D165" s="2" t="s">
        <v>74</v>
      </c>
      <c r="E165" s="50">
        <f t="shared" si="20"/>
        <v>0.16666662297601145</v>
      </c>
      <c r="F165" s="51">
        <f t="shared" si="21"/>
        <v>1.970254763450302E-08</v>
      </c>
      <c r="G165" s="51">
        <f t="shared" si="22"/>
        <v>1.666666666665E-13</v>
      </c>
      <c r="H165" s="51"/>
      <c r="I165" s="51">
        <f t="shared" si="23"/>
        <v>0.16666664267872575</v>
      </c>
    </row>
    <row r="166" spans="1:9" ht="12" customHeight="1">
      <c r="A166" s="82"/>
      <c r="B166" s="4">
        <v>50</v>
      </c>
      <c r="C166" s="5" t="s">
        <v>19</v>
      </c>
      <c r="D166" s="2" t="s">
        <v>74</v>
      </c>
      <c r="E166" s="50">
        <f t="shared" si="20"/>
        <v>0.16666650000016667</v>
      </c>
      <c r="F166" s="51">
        <f t="shared" si="21"/>
        <v>7.536264239195478E-08</v>
      </c>
      <c r="G166" s="51">
        <f t="shared" si="22"/>
        <v>6.357828776017415E-13</v>
      </c>
      <c r="H166" s="51"/>
      <c r="I166" s="51">
        <f t="shared" si="23"/>
        <v>0.16666657536344484</v>
      </c>
    </row>
    <row r="167" spans="1:9" ht="12" customHeight="1">
      <c r="A167" s="82"/>
      <c r="B167" s="4">
        <v>70</v>
      </c>
      <c r="C167" s="5"/>
      <c r="D167" s="2" t="s">
        <v>74</v>
      </c>
      <c r="E167" s="50">
        <f t="shared" si="20"/>
        <v>0.16666541175344896</v>
      </c>
      <c r="F167" s="51">
        <f t="shared" si="21"/>
        <v>5.715520078077569E-07</v>
      </c>
      <c r="G167" s="51">
        <f t="shared" si="22"/>
        <v>4.787150064966664E-12</v>
      </c>
      <c r="H167" s="51"/>
      <c r="I167" s="51">
        <f t="shared" si="23"/>
        <v>0.1666659833102439</v>
      </c>
    </row>
    <row r="168" spans="1:9" ht="12" customHeight="1">
      <c r="A168" s="82"/>
      <c r="B168" s="4">
        <v>100</v>
      </c>
      <c r="C168" s="5" t="s">
        <v>19</v>
      </c>
      <c r="D168" s="2" t="s">
        <v>74</v>
      </c>
      <c r="E168" s="50">
        <f t="shared" si="20"/>
        <v>0.16665600068262298</v>
      </c>
      <c r="F168" s="51">
        <f t="shared" si="21"/>
        <v>4.933165690620262E-06</v>
      </c>
      <c r="G168" s="51">
        <f t="shared" si="22"/>
        <v>4.0690104156732566E-11</v>
      </c>
      <c r="H168" s="51"/>
      <c r="I168" s="51">
        <f t="shared" si="23"/>
        <v>0.16666093388900372</v>
      </c>
    </row>
    <row r="169" spans="1:9" ht="12" customHeight="1">
      <c r="A169" s="82"/>
      <c r="B169" s="4">
        <v>150</v>
      </c>
      <c r="C169" s="5" t="s">
        <v>19</v>
      </c>
      <c r="D169" s="2" t="s">
        <v>74</v>
      </c>
      <c r="E169" s="50">
        <f t="shared" si="20"/>
        <v>0.16654525517564361</v>
      </c>
      <c r="F169" s="51">
        <f t="shared" si="21"/>
        <v>5.833827380782927E-05</v>
      </c>
      <c r="G169" s="51">
        <f t="shared" si="22"/>
        <v>4.6348571648452353E-10</v>
      </c>
      <c r="H169" s="51"/>
      <c r="I169" s="51">
        <f t="shared" si="23"/>
        <v>0.16660359391293716</v>
      </c>
    </row>
    <row r="170" spans="1:9" ht="12" customHeight="1">
      <c r="A170" s="82"/>
      <c r="B170" s="4">
        <v>200</v>
      </c>
      <c r="C170" s="5" t="s">
        <v>19</v>
      </c>
      <c r="D170" s="2" t="s">
        <v>74</v>
      </c>
      <c r="E170" s="50">
        <f t="shared" si="20"/>
        <v>0.16598678479614162</v>
      </c>
      <c r="F170" s="51">
        <f t="shared" si="21"/>
        <v>0.0003451439494354945</v>
      </c>
      <c r="G170" s="51">
        <f t="shared" si="22"/>
        <v>2.6041666259765635E-09</v>
      </c>
      <c r="H170" s="51"/>
      <c r="I170" s="51">
        <f t="shared" si="23"/>
        <v>0.16633193134974375</v>
      </c>
    </row>
    <row r="171" spans="1:9" ht="12" customHeight="1">
      <c r="A171" s="82"/>
      <c r="B171" s="4">
        <v>300</v>
      </c>
      <c r="C171" s="5" t="s">
        <v>19</v>
      </c>
      <c r="D171" s="2" t="s">
        <v>74</v>
      </c>
      <c r="E171" s="50">
        <f t="shared" si="20"/>
        <v>0.15923729159023267</v>
      </c>
      <c r="F171" s="51">
        <f t="shared" si="21"/>
        <v>0.004476715887099224</v>
      </c>
      <c r="G171" s="51">
        <f t="shared" si="22"/>
        <v>2.966308065810894E-08</v>
      </c>
      <c r="H171" s="51"/>
      <c r="I171" s="51">
        <f t="shared" si="23"/>
        <v>0.16371403714041255</v>
      </c>
    </row>
    <row r="172" spans="1:9" ht="12" customHeight="1">
      <c r="A172" s="82"/>
      <c r="B172" s="4">
        <v>400</v>
      </c>
      <c r="C172" s="5" t="s">
        <v>19</v>
      </c>
      <c r="D172" s="2" t="s">
        <v>74</v>
      </c>
      <c r="E172" s="50">
        <f t="shared" si="20"/>
        <v>0.13205043692848564</v>
      </c>
      <c r="F172" s="51">
        <f t="shared" si="21"/>
        <v>0.02708295345090242</v>
      </c>
      <c r="G172" s="51">
        <f t="shared" si="22"/>
        <v>1.666665000001667E-07</v>
      </c>
      <c r="H172" s="51"/>
      <c r="I172" s="51">
        <f t="shared" si="23"/>
        <v>0.15913355704588805</v>
      </c>
    </row>
    <row r="173" spans="1:9" ht="12" customHeight="1">
      <c r="A173" s="82"/>
      <c r="B173" s="4">
        <v>500</v>
      </c>
      <c r="C173" s="5" t="s">
        <v>19</v>
      </c>
      <c r="D173" s="2" t="s">
        <v>74</v>
      </c>
      <c r="E173" s="50">
        <f t="shared" si="20"/>
        <v>0.08333333333333334</v>
      </c>
      <c r="F173" s="51">
        <f t="shared" si="21"/>
        <v>0.0833333333333333</v>
      </c>
      <c r="G173" s="51">
        <f t="shared" si="22"/>
        <v>6.357804522942134E-07</v>
      </c>
      <c r="H173" s="51"/>
      <c r="I173" s="51">
        <f t="shared" si="23"/>
        <v>0.16666730244711891</v>
      </c>
    </row>
    <row r="174" spans="1:9" ht="12" customHeight="1">
      <c r="A174" s="82"/>
      <c r="B174" s="4">
        <v>700</v>
      </c>
      <c r="C174" s="5" t="s">
        <v>19</v>
      </c>
      <c r="D174" s="2" t="s">
        <v>74</v>
      </c>
      <c r="E174" s="50">
        <f t="shared" si="20"/>
        <v>0.019539945275647678</v>
      </c>
      <c r="F174" s="51">
        <f t="shared" si="21"/>
        <v>0.1580062375901602</v>
      </c>
      <c r="G174" s="51">
        <f t="shared" si="22"/>
        <v>4.787012568218998E-06</v>
      </c>
      <c r="H174" s="51"/>
      <c r="I174" s="51">
        <f t="shared" si="23"/>
        <v>0.1775509698783761</v>
      </c>
    </row>
    <row r="175" spans="1:9" ht="12" customHeight="1">
      <c r="A175" s="82"/>
      <c r="B175" s="4" t="s">
        <v>21</v>
      </c>
      <c r="C175" s="5" t="s">
        <v>19</v>
      </c>
      <c r="D175" s="2" t="s">
        <v>74</v>
      </c>
      <c r="E175" s="50">
        <f t="shared" si="20"/>
        <v>0.002564102564102565</v>
      </c>
      <c r="F175" s="51">
        <f t="shared" si="21"/>
        <v>0.16657605079019874</v>
      </c>
      <c r="G175" s="51">
        <f t="shared" si="22"/>
        <v>4.068017248393131E-05</v>
      </c>
      <c r="H175" s="51"/>
      <c r="I175" s="51">
        <f t="shared" si="23"/>
        <v>0.16918083352678523</v>
      </c>
    </row>
    <row r="176" spans="1:9" ht="12" customHeight="1">
      <c r="A176" s="82"/>
      <c r="B176" s="4" t="s">
        <v>22</v>
      </c>
      <c r="C176" s="5" t="s">
        <v>19</v>
      </c>
      <c r="D176" s="2" t="s">
        <v>74</v>
      </c>
      <c r="E176" s="50">
        <f t="shared" si="20"/>
        <v>0.00022831050228310496</v>
      </c>
      <c r="F176" s="51">
        <f t="shared" si="21"/>
        <v>0.16666666472339747</v>
      </c>
      <c r="G176" s="51">
        <f t="shared" si="22"/>
        <v>0.00046220037812936307</v>
      </c>
      <c r="H176" s="51"/>
      <c r="I176" s="51">
        <f t="shared" si="23"/>
        <v>0.16735717560380994</v>
      </c>
    </row>
    <row r="177" spans="1:9" ht="12" customHeight="1">
      <c r="A177" s="82"/>
      <c r="B177" s="4" t="s">
        <v>23</v>
      </c>
      <c r="C177" s="5" t="s">
        <v>19</v>
      </c>
      <c r="D177" s="2" t="s">
        <v>74</v>
      </c>
      <c r="E177" s="50">
        <f t="shared" si="20"/>
        <v>4.068017248393134E-05</v>
      </c>
      <c r="F177" s="51">
        <f t="shared" si="21"/>
        <v>0.16657605079019877</v>
      </c>
      <c r="G177" s="51">
        <f t="shared" si="22"/>
        <v>0.002564102564102563</v>
      </c>
      <c r="H177" s="51"/>
      <c r="I177" s="51">
        <f t="shared" si="23"/>
        <v>0.16918083352678526</v>
      </c>
    </row>
    <row r="178" spans="1:9" ht="12" customHeight="1">
      <c r="A178" s="82"/>
      <c r="B178" s="4" t="s">
        <v>24</v>
      </c>
      <c r="C178" s="5" t="s">
        <v>19</v>
      </c>
      <c r="D178" s="2" t="s">
        <v>74</v>
      </c>
      <c r="E178" s="50">
        <f t="shared" si="20"/>
        <v>3.572168520622128E-06</v>
      </c>
      <c r="F178" s="51">
        <f t="shared" si="21"/>
        <v>0.15321563682219422</v>
      </c>
      <c r="G178" s="51">
        <f t="shared" si="22"/>
        <v>0.02518134715025908</v>
      </c>
      <c r="H178" s="51"/>
      <c r="I178" s="51">
        <f t="shared" si="23"/>
        <v>0.17840055614097391</v>
      </c>
    </row>
    <row r="179" spans="1:9" ht="12" customHeight="1">
      <c r="A179" s="82"/>
      <c r="B179" s="4" t="s">
        <v>25</v>
      </c>
      <c r="C179" s="5" t="s">
        <v>19</v>
      </c>
      <c r="D179" s="2" t="s">
        <v>74</v>
      </c>
      <c r="E179" s="50">
        <f t="shared" si="20"/>
        <v>6.35780452294214E-07</v>
      </c>
      <c r="F179" s="51">
        <f t="shared" si="21"/>
        <v>0.08333333333333333</v>
      </c>
      <c r="G179" s="51">
        <f t="shared" si="22"/>
        <v>0.0833333333333333</v>
      </c>
      <c r="H179" s="51"/>
      <c r="I179" s="51">
        <f t="shared" si="23"/>
        <v>0.16666730244711891</v>
      </c>
    </row>
    <row r="180" spans="1:9" ht="12" customHeight="1">
      <c r="A180" s="82"/>
      <c r="B180" s="4" t="s">
        <v>26</v>
      </c>
      <c r="C180" s="5" t="s">
        <v>19</v>
      </c>
      <c r="D180" s="2" t="s">
        <v>74</v>
      </c>
      <c r="E180" s="50">
        <f t="shared" si="20"/>
        <v>1.666665000001666E-07</v>
      </c>
      <c r="F180" s="51">
        <f t="shared" si="21"/>
        <v>0.027082953450902444</v>
      </c>
      <c r="G180" s="51">
        <f t="shared" si="22"/>
        <v>0.13205043692848567</v>
      </c>
      <c r="H180" s="51"/>
      <c r="I180" s="51">
        <f t="shared" si="23"/>
        <v>0.1591335570458881</v>
      </c>
    </row>
    <row r="181" spans="1:9" ht="12" customHeight="1">
      <c r="A181" s="82"/>
      <c r="B181" s="4" t="s">
        <v>27</v>
      </c>
      <c r="C181" s="5" t="s">
        <v>19</v>
      </c>
      <c r="D181" s="2" t="s">
        <v>74</v>
      </c>
      <c r="E181" s="50">
        <f t="shared" si="20"/>
        <v>2.2135048498555306E-08</v>
      </c>
      <c r="F181" s="51">
        <f t="shared" si="21"/>
        <v>0.0032781652928672964</v>
      </c>
      <c r="G181" s="51">
        <f t="shared" si="22"/>
        <v>0.16105931797335962</v>
      </c>
      <c r="H181" s="51"/>
      <c r="I181" s="51">
        <f t="shared" si="23"/>
        <v>0.16433750540127542</v>
      </c>
    </row>
    <row r="182" spans="1:9" ht="12" customHeight="1">
      <c r="A182" s="82"/>
      <c r="B182" s="4" t="s">
        <v>28</v>
      </c>
      <c r="C182" s="5" t="s">
        <v>19</v>
      </c>
      <c r="D182" s="2" t="s">
        <v>74</v>
      </c>
      <c r="E182" s="50">
        <f t="shared" si="20"/>
        <v>2.604166625976562E-09</v>
      </c>
      <c r="F182" s="51">
        <f t="shared" si="21"/>
        <v>0.0003451439494354946</v>
      </c>
      <c r="G182" s="51">
        <f t="shared" si="22"/>
        <v>0.16598678479614162</v>
      </c>
      <c r="H182" s="51"/>
      <c r="I182" s="51">
        <f t="shared" si="23"/>
        <v>0.16633193134974375</v>
      </c>
    </row>
    <row r="183" spans="1:9" ht="12" customHeight="1">
      <c r="A183" s="82"/>
      <c r="B183" s="4" t="s">
        <v>29</v>
      </c>
      <c r="C183" s="5" t="s">
        <v>19</v>
      </c>
      <c r="D183" s="2" t="s">
        <v>74</v>
      </c>
      <c r="E183" s="50">
        <f t="shared" si="20"/>
        <v>2.2862368510019609E-10</v>
      </c>
      <c r="F183" s="51">
        <f t="shared" si="21"/>
        <v>2.8372751391893064E-05</v>
      </c>
      <c r="G183" s="51">
        <f t="shared" si="22"/>
        <v>0.16660675588283377</v>
      </c>
      <c r="H183" s="51"/>
      <c r="I183" s="51">
        <f t="shared" si="23"/>
        <v>0.16663512886284934</v>
      </c>
    </row>
    <row r="184" spans="1:9" ht="12" customHeight="1">
      <c r="A184" s="83"/>
      <c r="B184" s="4" t="s">
        <v>30</v>
      </c>
      <c r="C184" s="5" t="s">
        <v>19</v>
      </c>
      <c r="D184" s="2" t="s">
        <v>74</v>
      </c>
      <c r="E184" s="50">
        <f t="shared" si="20"/>
        <v>4.069010415673254E-11</v>
      </c>
      <c r="F184" s="51">
        <f t="shared" si="21"/>
        <v>4.933165690620266E-06</v>
      </c>
      <c r="G184" s="51">
        <f t="shared" si="22"/>
        <v>0.16665600068262298</v>
      </c>
      <c r="H184" s="51"/>
      <c r="I184" s="51">
        <f t="shared" si="23"/>
        <v>0.16666093388900372</v>
      </c>
    </row>
    <row r="185" spans="1:9" ht="12" customHeight="1">
      <c r="A185" s="81" t="s">
        <v>178</v>
      </c>
      <c r="B185" s="4">
        <v>20</v>
      </c>
      <c r="C185" s="5" t="s">
        <v>19</v>
      </c>
      <c r="D185" s="2" t="s">
        <v>74</v>
      </c>
      <c r="E185" s="50">
        <f>((E97-D119)*(D97*D119-D97*E97+E97*D119)-E$28^2*(D97-D119))/((D97*D119-D97*E97+E97*D119)^2+E$28^2*(D97-D119)^2)</f>
        <v>-0.004448011359558724</v>
      </c>
      <c r="F185" s="51">
        <f>((-1)*(F141+G141)*(E141*G141+E141*F141+F141*G141)-G$28^2*(E141+G141))/((E141*G141+E141*F141+F141*G141)^2+F$28^2*(E141+G141)^2)</f>
        <v>0.0038920560308762383</v>
      </c>
      <c r="G185" s="51">
        <f>((I97-I119)*(H119*I97+I97*I119-H119*I119)-G$28^2*(I97-H119))/((H119*I97-H119*I119+I119*I97)^2+G$28^2*(H119-I97)^2)</f>
        <v>0.0005555625003472134</v>
      </c>
      <c r="H185" s="51"/>
      <c r="I185" s="51">
        <f t="shared" si="23"/>
        <v>-3.928283352722193E-07</v>
      </c>
    </row>
    <row r="186" spans="1:9" ht="12" customHeight="1">
      <c r="A186" s="82"/>
      <c r="B186" s="4">
        <v>30</v>
      </c>
      <c r="C186" s="5" t="s">
        <v>19</v>
      </c>
      <c r="D186" s="2" t="s">
        <v>74</v>
      </c>
      <c r="E186" s="50">
        <f aca="true" t="shared" si="24" ref="E186:E206">((E98-D120)*(D98*D120-D98*E98+E98*D120)-E$28^2*(D98-D120))/((D98*D120-D98*E98+E98*D120)^2+E$28^2*(D98-D120)^2)</f>
        <v>-0.006678752755062779</v>
      </c>
      <c r="F186" s="51">
        <f aca="true" t="shared" si="25" ref="F186:F206">((-1)*(F142+G142)*(E142*G142+E142*F142+F142*G142)-G$28^2*(E142+G142))/((E142*G142+E142*F142+F142*G142)^2+F$28^2*(E142+G142)^2)</f>
        <v>0.005844053732601052</v>
      </c>
      <c r="G186" s="51">
        <f aca="true" t="shared" si="26" ref="G186:G206">((I98-I120)*(H120*I98+I98*I120-H120*I120)-G$28^2*(I98-H120))/((H120*I98-H120*I120+I120*I98)^2+G$28^2*(H120-I98)^2)</f>
        <v>0.0008333567734699035</v>
      </c>
      <c r="H186" s="51"/>
      <c r="I186" s="51">
        <f t="shared" si="23"/>
        <v>-1.3422489918237836E-06</v>
      </c>
    </row>
    <row r="187" spans="1:9" ht="12" customHeight="1">
      <c r="A187" s="82"/>
      <c r="B187" s="4">
        <v>40</v>
      </c>
      <c r="C187" s="5" t="s">
        <v>19</v>
      </c>
      <c r="D187" s="2" t="s">
        <v>74</v>
      </c>
      <c r="E187" s="50">
        <f t="shared" si="24"/>
        <v>-0.008917695084501963</v>
      </c>
      <c r="F187" s="51">
        <f t="shared" si="25"/>
        <v>0.0078032929146728</v>
      </c>
      <c r="G187" s="51">
        <f t="shared" si="26"/>
        <v>0.0011111666777766664</v>
      </c>
      <c r="H187" s="51"/>
      <c r="I187" s="51">
        <f t="shared" si="23"/>
        <v>-3.2354920524960574E-06</v>
      </c>
    </row>
    <row r="188" spans="1:9" ht="12" customHeight="1">
      <c r="A188" s="82"/>
      <c r="B188" s="4">
        <v>50</v>
      </c>
      <c r="C188" s="5" t="s">
        <v>19</v>
      </c>
      <c r="D188" s="2" t="s">
        <v>74</v>
      </c>
      <c r="E188" s="50">
        <f t="shared" si="24"/>
        <v>-0.01116776661001117</v>
      </c>
      <c r="F188" s="51">
        <f t="shared" si="25"/>
        <v>0.009772317063905484</v>
      </c>
      <c r="G188" s="51">
        <f t="shared" si="26"/>
        <v>0.0013889974297364549</v>
      </c>
      <c r="H188" s="51"/>
      <c r="I188" s="51">
        <f t="shared" si="23"/>
        <v>-6.452116369230114E-06</v>
      </c>
    </row>
    <row r="189" spans="1:9" ht="12" customHeight="1">
      <c r="A189" s="82"/>
      <c r="B189" s="4">
        <v>70</v>
      </c>
      <c r="C189" s="5" t="s">
        <v>19</v>
      </c>
      <c r="D189" s="2" t="s">
        <v>74</v>
      </c>
      <c r="E189" s="50">
        <f t="shared" si="24"/>
        <v>-0.01571385750416645</v>
      </c>
      <c r="F189" s="51">
        <f t="shared" si="25"/>
        <v>0.013750476143238554</v>
      </c>
      <c r="G189" s="51">
        <f t="shared" si="26"/>
        <v>0.0019447423698117625</v>
      </c>
      <c r="H189" s="51"/>
      <c r="I189" s="51">
        <f t="shared" si="23"/>
        <v>-1.8638991116132816E-05</v>
      </c>
    </row>
    <row r="190" spans="1:9" ht="12" customHeight="1">
      <c r="A190" s="82"/>
      <c r="B190" s="4">
        <v>100</v>
      </c>
      <c r="C190" s="5" t="s">
        <v>19</v>
      </c>
      <c r="D190" s="2" t="s">
        <v>74</v>
      </c>
      <c r="E190" s="50">
        <f t="shared" si="24"/>
        <v>-0.022700769372982363</v>
      </c>
      <c r="F190" s="51">
        <f t="shared" si="25"/>
        <v>0.01986252113091886</v>
      </c>
      <c r="G190" s="51">
        <f t="shared" si="26"/>
        <v>0.0027786469177243974</v>
      </c>
      <c r="H190" s="51"/>
      <c r="I190" s="51">
        <f t="shared" si="23"/>
        <v>-5.9601324339105324E-05</v>
      </c>
    </row>
    <row r="191" spans="1:9" ht="12" customHeight="1">
      <c r="A191" s="82"/>
      <c r="B191" s="4">
        <v>150</v>
      </c>
      <c r="C191" s="5" t="s">
        <v>19</v>
      </c>
      <c r="D191" s="2" t="s">
        <v>74</v>
      </c>
      <c r="E191" s="50">
        <f t="shared" si="24"/>
        <v>-0.03507776164509411</v>
      </c>
      <c r="F191" s="51">
        <f t="shared" si="25"/>
        <v>0.03067390496437748</v>
      </c>
      <c r="G191" s="51">
        <f t="shared" si="26"/>
        <v>0.004169604582317447</v>
      </c>
      <c r="H191" s="51"/>
      <c r="I191" s="51">
        <f t="shared" si="23"/>
        <v>-0.0002342520983991828</v>
      </c>
    </row>
    <row r="192" spans="1:9" ht="12" customHeight="1">
      <c r="A192" s="82"/>
      <c r="B192" s="4">
        <v>200</v>
      </c>
      <c r="C192" s="5" t="s">
        <v>19</v>
      </c>
      <c r="D192" s="2" t="s">
        <v>74</v>
      </c>
      <c r="E192" s="50">
        <f t="shared" si="24"/>
        <v>-0.04893733047216381</v>
      </c>
      <c r="F192" s="51">
        <f t="shared" si="25"/>
        <v>0.04277016458333729</v>
      </c>
      <c r="G192" s="51">
        <f t="shared" si="26"/>
        <v>0.005562534635307619</v>
      </c>
      <c r="H192" s="51"/>
      <c r="I192" s="51">
        <f t="shared" si="23"/>
        <v>-0.0006046312535189025</v>
      </c>
    </row>
    <row r="193" spans="1:9" ht="12" customHeight="1">
      <c r="A193" s="82"/>
      <c r="B193" s="4">
        <v>300</v>
      </c>
      <c r="C193" s="5" t="s">
        <v>19</v>
      </c>
      <c r="D193" s="2" t="s">
        <v>74</v>
      </c>
      <c r="E193" s="50">
        <f t="shared" si="24"/>
        <v>-0.08341486282662752</v>
      </c>
      <c r="F193" s="51">
        <f t="shared" si="25"/>
        <v>0.07385219635784211</v>
      </c>
      <c r="G193" s="51">
        <f t="shared" si="26"/>
        <v>0.008357033017836</v>
      </c>
      <c r="H193" s="51"/>
      <c r="I193" s="51">
        <f t="shared" si="23"/>
        <v>-0.0012056334509494109</v>
      </c>
    </row>
    <row r="194" spans="1:9" ht="12" customHeight="1">
      <c r="A194" s="82"/>
      <c r="B194" s="4">
        <v>400</v>
      </c>
      <c r="C194" s="5" t="s">
        <v>19</v>
      </c>
      <c r="D194" s="2" t="s">
        <v>74</v>
      </c>
      <c r="E194" s="50">
        <f t="shared" si="24"/>
        <v>-0.12181036571280471</v>
      </c>
      <c r="F194" s="51">
        <f t="shared" si="25"/>
        <v>0.11502797971782558</v>
      </c>
      <c r="G194" s="51">
        <f t="shared" si="26"/>
        <v>0.01116776661001117</v>
      </c>
      <c r="H194" s="51"/>
      <c r="I194" s="51">
        <f t="shared" si="23"/>
        <v>0.00438538061503204</v>
      </c>
    </row>
    <row r="195" spans="1:9" ht="12" customHeight="1">
      <c r="A195" s="82"/>
      <c r="B195" s="4">
        <v>500</v>
      </c>
      <c r="C195" s="5" t="s">
        <v>19</v>
      </c>
      <c r="D195" s="2" t="s">
        <v>74</v>
      </c>
      <c r="E195" s="50">
        <f t="shared" si="24"/>
        <v>-0.13888888888888884</v>
      </c>
      <c r="F195" s="51">
        <f t="shared" si="25"/>
        <v>0.1388888888888889</v>
      </c>
      <c r="G195" s="51">
        <f t="shared" si="26"/>
        <v>0.014000733266788308</v>
      </c>
      <c r="H195" s="51"/>
      <c r="I195" s="51">
        <f t="shared" si="23"/>
        <v>0.014000733266788364</v>
      </c>
    </row>
    <row r="196" spans="1:9" ht="12" customHeight="1">
      <c r="A196" s="82"/>
      <c r="B196" s="4">
        <v>700</v>
      </c>
      <c r="C196" s="5" t="s">
        <v>19</v>
      </c>
      <c r="D196" s="2" t="s">
        <v>74</v>
      </c>
      <c r="E196" s="50">
        <f t="shared" si="24"/>
        <v>-0.10617016238892976</v>
      </c>
      <c r="F196" s="51">
        <f t="shared" si="25"/>
        <v>0.08662072236889405</v>
      </c>
      <c r="G196" s="51">
        <f t="shared" si="26"/>
        <v>0.019759856701757</v>
      </c>
      <c r="H196" s="51"/>
      <c r="I196" s="51">
        <f t="shared" si="23"/>
        <v>0.00021041668172128852</v>
      </c>
    </row>
    <row r="197" spans="1:9" ht="12" customHeight="1">
      <c r="A197" s="82"/>
      <c r="B197" s="4" t="s">
        <v>21</v>
      </c>
      <c r="C197" s="5" t="s">
        <v>19</v>
      </c>
      <c r="D197" s="2" t="s">
        <v>74</v>
      </c>
      <c r="E197" s="50">
        <f t="shared" si="24"/>
        <v>-0.06495726495726496</v>
      </c>
      <c r="F197" s="51">
        <f t="shared" si="25"/>
        <v>0.033235260525364435</v>
      </c>
      <c r="G197" s="51">
        <f t="shared" si="26"/>
        <v>0.028747321888644796</v>
      </c>
      <c r="H197" s="51"/>
      <c r="I197" s="51">
        <f t="shared" si="23"/>
        <v>-0.0029746825432557314</v>
      </c>
    </row>
    <row r="198" spans="1:9" ht="12" customHeight="1">
      <c r="A198" s="82"/>
      <c r="B198" s="4" t="s">
        <v>22</v>
      </c>
      <c r="C198" s="5" t="s">
        <v>19</v>
      </c>
      <c r="D198" s="2" t="s">
        <v>74</v>
      </c>
      <c r="E198" s="50">
        <f t="shared" si="24"/>
        <v>-0.039497716894977164</v>
      </c>
      <c r="F198" s="51">
        <f t="shared" si="25"/>
        <v>-0.005297031307225616</v>
      </c>
      <c r="G198" s="51">
        <f t="shared" si="26"/>
        <v>0.04529436901723139</v>
      </c>
      <c r="H198" s="51"/>
      <c r="I198" s="51">
        <f t="shared" si="23"/>
        <v>0.0004996208150286133</v>
      </c>
    </row>
    <row r="199" spans="1:9" ht="12" customHeight="1">
      <c r="A199" s="82"/>
      <c r="B199" s="4" t="s">
        <v>23</v>
      </c>
      <c r="C199" s="5" t="s">
        <v>19</v>
      </c>
      <c r="D199" s="2" t="s">
        <v>74</v>
      </c>
      <c r="E199" s="50">
        <f t="shared" si="24"/>
        <v>-0.028747321888644806</v>
      </c>
      <c r="F199" s="51">
        <f t="shared" si="25"/>
        <v>-0.03323526052536443</v>
      </c>
      <c r="G199" s="51">
        <f t="shared" si="26"/>
        <v>0.06495726495726493</v>
      </c>
      <c r="H199" s="51"/>
      <c r="I199" s="51">
        <f t="shared" si="23"/>
        <v>0.0029746825432556967</v>
      </c>
    </row>
    <row r="200" spans="1:9" ht="12" customHeight="1">
      <c r="A200" s="82"/>
      <c r="B200" s="4" t="s">
        <v>24</v>
      </c>
      <c r="C200" s="5" t="s">
        <v>19</v>
      </c>
      <c r="D200" s="2" t="s">
        <v>74</v>
      </c>
      <c r="E200" s="50">
        <f t="shared" si="24"/>
        <v>-0.018789606418472396</v>
      </c>
      <c r="F200" s="51">
        <f t="shared" si="25"/>
        <v>-0.09667927700714583</v>
      </c>
      <c r="G200" s="51">
        <f t="shared" si="26"/>
        <v>0.11302245250431779</v>
      </c>
      <c r="H200" s="51"/>
      <c r="I200" s="51">
        <f t="shared" si="23"/>
        <v>-0.002446430921300438</v>
      </c>
    </row>
    <row r="201" spans="1:9" ht="12" customHeight="1">
      <c r="A201" s="82"/>
      <c r="B201" s="4" t="s">
        <v>25</v>
      </c>
      <c r="C201" s="5" t="s">
        <v>19</v>
      </c>
      <c r="D201" s="2" t="s">
        <v>74</v>
      </c>
      <c r="E201" s="50">
        <f t="shared" si="24"/>
        <v>-0.014000733266788313</v>
      </c>
      <c r="F201" s="51">
        <f t="shared" si="25"/>
        <v>-0.1388888888888889</v>
      </c>
      <c r="G201" s="51">
        <f t="shared" si="26"/>
        <v>0.1388888888888889</v>
      </c>
      <c r="H201" s="51"/>
      <c r="I201" s="51">
        <f t="shared" si="23"/>
        <v>-0.014000733266788301</v>
      </c>
    </row>
    <row r="202" spans="1:9" ht="12" customHeight="1">
      <c r="A202" s="82"/>
      <c r="B202" s="4" t="s">
        <v>26</v>
      </c>
      <c r="C202" s="5" t="s">
        <v>19</v>
      </c>
      <c r="D202" s="2" t="s">
        <v>74</v>
      </c>
      <c r="E202" s="50">
        <f t="shared" si="24"/>
        <v>-0.011167766610011166</v>
      </c>
      <c r="F202" s="51">
        <f t="shared" si="25"/>
        <v>-0.11502797971782559</v>
      </c>
      <c r="G202" s="51">
        <f t="shared" si="26"/>
        <v>0.12181036571280471</v>
      </c>
      <c r="H202" s="51"/>
      <c r="I202" s="51">
        <f t="shared" si="23"/>
        <v>-0.004385380615032047</v>
      </c>
    </row>
    <row r="203" spans="1:9" ht="12" customHeight="1">
      <c r="A203" s="82"/>
      <c r="B203" s="4" t="s">
        <v>27</v>
      </c>
      <c r="C203" s="5" t="s">
        <v>19</v>
      </c>
      <c r="D203" s="2" t="s">
        <v>74</v>
      </c>
      <c r="E203" s="50">
        <f t="shared" si="24"/>
        <v>-0.007956959667270672</v>
      </c>
      <c r="F203" s="51">
        <f t="shared" si="25"/>
        <v>-0.0686873337199311</v>
      </c>
      <c r="G203" s="51">
        <f t="shared" si="26"/>
        <v>0.07791513226644031</v>
      </c>
      <c r="H203" s="51"/>
      <c r="I203" s="51">
        <f t="shared" si="23"/>
        <v>0.0012708388792385394</v>
      </c>
    </row>
    <row r="204" spans="1:9" ht="12" customHeight="1">
      <c r="A204" s="82"/>
      <c r="B204" s="4" t="s">
        <v>28</v>
      </c>
      <c r="C204" s="5" t="s">
        <v>19</v>
      </c>
      <c r="D204" s="2" t="s">
        <v>74</v>
      </c>
      <c r="E204" s="50">
        <f t="shared" si="24"/>
        <v>-0.005562534635307617</v>
      </c>
      <c r="F204" s="51">
        <f t="shared" si="25"/>
        <v>-0.04277016458333729</v>
      </c>
      <c r="G204" s="51">
        <f t="shared" si="26"/>
        <v>0.048937330472163816</v>
      </c>
      <c r="H204" s="51"/>
      <c r="I204" s="51">
        <f t="shared" si="23"/>
        <v>0.0006046312535189086</v>
      </c>
    </row>
    <row r="205" spans="1:9" ht="12" customHeight="1">
      <c r="A205" s="82"/>
      <c r="B205" s="4" t="s">
        <v>29</v>
      </c>
      <c r="C205" s="5" t="s">
        <v>19</v>
      </c>
      <c r="D205" s="2" t="s">
        <v>74</v>
      </c>
      <c r="E205" s="50">
        <f t="shared" si="24"/>
        <v>-0.0037057658842627812</v>
      </c>
      <c r="F205" s="51">
        <f t="shared" si="25"/>
        <v>-0.026959134562154957</v>
      </c>
      <c r="G205" s="51">
        <f t="shared" si="26"/>
        <v>0.0308218750302589</v>
      </c>
      <c r="H205" s="51"/>
      <c r="I205" s="51">
        <f t="shared" si="23"/>
        <v>0.0001569745838411636</v>
      </c>
    </row>
    <row r="206" spans="1:9" ht="12" customHeight="1">
      <c r="A206" s="83"/>
      <c r="B206" s="4" t="s">
        <v>30</v>
      </c>
      <c r="C206" s="5" t="s">
        <v>19</v>
      </c>
      <c r="D206" s="2" t="s">
        <v>74</v>
      </c>
      <c r="E206" s="50">
        <f t="shared" si="24"/>
        <v>-0.0027786469177243965</v>
      </c>
      <c r="F206" s="51">
        <f t="shared" si="25"/>
        <v>-0.01986252113091886</v>
      </c>
      <c r="G206" s="51">
        <f t="shared" si="26"/>
        <v>0.022700769372982373</v>
      </c>
      <c r="H206" s="51"/>
      <c r="I206" s="51">
        <f t="shared" si="23"/>
        <v>5.960132433911747E-05</v>
      </c>
    </row>
    <row r="207" spans="1:9" ht="12" customHeight="1">
      <c r="A207" s="81" t="s">
        <v>122</v>
      </c>
      <c r="B207" s="4">
        <v>20</v>
      </c>
      <c r="C207" s="5" t="s">
        <v>41</v>
      </c>
      <c r="D207" s="2" t="s">
        <v>42</v>
      </c>
      <c r="E207" s="61">
        <f>IF($I$17=1,SpeakerCorrection1!E56,0)+IF($I$17=2,SpeakerCorrection2!E56,0)+IF($I$17=3,SpeakerCorrection3!E56,0)+IF($I$17=4,SpeakerCorrection4!E56,0)</f>
        <v>0</v>
      </c>
      <c r="F207" s="61">
        <f>IF($I$17=1,SpeakerCorrection1!F56,0)+IF($I$17=2,SpeakerCorrection2!F56,0)+IF($I$17=3,SpeakerCorrection3!F56,0)+IF($I$17=4,SpeakerCorrection4!F56,0)</f>
        <v>0</v>
      </c>
      <c r="G207" s="61">
        <f>IF($I$17=1,SpeakerCorrection1!G56,0)+IF($I$17=2,SpeakerCorrection2!G56,0)+IF($I$17=3,SpeakerCorrection3!G56,0)+IF($I$17=4,SpeakerCorrection4!G56,0)</f>
        <v>0</v>
      </c>
      <c r="H207" s="61">
        <f>IF($I$17=1,SpeakerCorrection1!H56,0)+IF($I$17=2,SpeakerCorrection2!H56,0)+IF($I$17=3,SpeakerCorrection3!H56,0)+IF($I$17=4,SpeakerCorrection4!H56,0)</f>
        <v>0</v>
      </c>
      <c r="I207" s="62"/>
    </row>
    <row r="208" spans="1:9" ht="12" customHeight="1">
      <c r="A208" s="82"/>
      <c r="B208" s="4">
        <v>30</v>
      </c>
      <c r="C208" s="5" t="s">
        <v>41</v>
      </c>
      <c r="D208" s="2" t="s">
        <v>42</v>
      </c>
      <c r="E208" s="61">
        <f>IF($I$17=1,SpeakerCorrection1!E57,0)+IF($I$17=2,SpeakerCorrection2!E57,0)+IF($I$17=3,SpeakerCorrection3!E57,0)+IF($I$17=4,SpeakerCorrection4!E57,0)</f>
        <v>0</v>
      </c>
      <c r="F208" s="61">
        <f>IF($I$17=1,SpeakerCorrection1!F57,0)+IF($I$17=2,SpeakerCorrection2!F57,0)+IF($I$17=3,SpeakerCorrection3!F57,0)+IF($I$17=4,SpeakerCorrection4!F57,0)</f>
        <v>0</v>
      </c>
      <c r="G208" s="61">
        <f>IF($I$17=1,SpeakerCorrection1!G57,0)+IF($I$17=2,SpeakerCorrection2!G57,0)+IF($I$17=3,SpeakerCorrection3!G57,0)+IF($I$17=4,SpeakerCorrection4!G57,0)</f>
        <v>0</v>
      </c>
      <c r="H208" s="61">
        <f>IF($I$17=1,SpeakerCorrection1!H57,0)+IF($I$17=2,SpeakerCorrection2!H57,0)+IF($I$17=3,SpeakerCorrection3!H57,0)+IF($I$17=4,SpeakerCorrection4!H57,0)</f>
        <v>0</v>
      </c>
      <c r="I208" s="62"/>
    </row>
    <row r="209" spans="1:9" ht="12" customHeight="1">
      <c r="A209" s="82"/>
      <c r="B209" s="4">
        <v>40</v>
      </c>
      <c r="C209" s="5" t="s">
        <v>41</v>
      </c>
      <c r="D209" s="2" t="s">
        <v>42</v>
      </c>
      <c r="E209" s="61">
        <f>IF($I$17=1,SpeakerCorrection1!E58,0)+IF($I$17=2,SpeakerCorrection2!E58,0)+IF($I$17=3,SpeakerCorrection3!E58,0)+IF($I$17=4,SpeakerCorrection4!E58,0)</f>
        <v>0</v>
      </c>
      <c r="F209" s="61">
        <f>IF($I$17=1,SpeakerCorrection1!F58,0)+IF($I$17=2,SpeakerCorrection2!F58,0)+IF($I$17=3,SpeakerCorrection3!F58,0)+IF($I$17=4,SpeakerCorrection4!F58,0)</f>
        <v>0</v>
      </c>
      <c r="G209" s="61">
        <f>IF($I$17=1,SpeakerCorrection1!G58,0)+IF($I$17=2,SpeakerCorrection2!G58,0)+IF($I$17=3,SpeakerCorrection3!G58,0)+IF($I$17=4,SpeakerCorrection4!G58,0)</f>
        <v>0</v>
      </c>
      <c r="H209" s="61">
        <f>IF($I$17=1,SpeakerCorrection1!H58,0)+IF($I$17=2,SpeakerCorrection2!H58,0)+IF($I$17=3,SpeakerCorrection3!H58,0)+IF($I$17=4,SpeakerCorrection4!H58,0)</f>
        <v>0</v>
      </c>
      <c r="I209" s="62"/>
    </row>
    <row r="210" spans="1:9" ht="12" customHeight="1">
      <c r="A210" s="82"/>
      <c r="B210" s="4">
        <v>50</v>
      </c>
      <c r="C210" s="5" t="s">
        <v>41</v>
      </c>
      <c r="D210" s="2" t="s">
        <v>42</v>
      </c>
      <c r="E210" s="61">
        <f>IF($I$17=1,SpeakerCorrection1!E59,0)+IF($I$17=2,SpeakerCorrection2!E59,0)+IF($I$17=3,SpeakerCorrection3!E59,0)+IF($I$17=4,SpeakerCorrection4!E59,0)</f>
        <v>0</v>
      </c>
      <c r="F210" s="61">
        <f>IF($I$17=1,SpeakerCorrection1!F59,0)+IF($I$17=2,SpeakerCorrection2!F59,0)+IF($I$17=3,SpeakerCorrection3!F59,0)+IF($I$17=4,SpeakerCorrection4!F59,0)</f>
        <v>0</v>
      </c>
      <c r="G210" s="61">
        <f>IF($I$17=1,SpeakerCorrection1!G59,0)+IF($I$17=2,SpeakerCorrection2!G59,0)+IF($I$17=3,SpeakerCorrection3!G59,0)+IF($I$17=4,SpeakerCorrection4!G59,0)</f>
        <v>0</v>
      </c>
      <c r="H210" s="61">
        <f>IF($I$17=1,SpeakerCorrection1!H59,0)+IF($I$17=2,SpeakerCorrection2!H59,0)+IF($I$17=3,SpeakerCorrection3!H59,0)+IF($I$17=4,SpeakerCorrection4!H59,0)</f>
        <v>0</v>
      </c>
      <c r="I210" s="62"/>
    </row>
    <row r="211" spans="1:9" ht="12" customHeight="1">
      <c r="A211" s="82"/>
      <c r="B211" s="4">
        <v>70</v>
      </c>
      <c r="C211" s="5" t="s">
        <v>41</v>
      </c>
      <c r="D211" s="2" t="s">
        <v>42</v>
      </c>
      <c r="E211" s="61">
        <f>IF($I$17=1,SpeakerCorrection1!E60,0)+IF($I$17=2,SpeakerCorrection2!E60,0)+IF($I$17=3,SpeakerCorrection3!E60,0)+IF($I$17=4,SpeakerCorrection4!E60,0)</f>
        <v>0</v>
      </c>
      <c r="F211" s="61">
        <f>IF($I$17=1,SpeakerCorrection1!F60,0)+IF($I$17=2,SpeakerCorrection2!F60,0)+IF($I$17=3,SpeakerCorrection3!F60,0)+IF($I$17=4,SpeakerCorrection4!F60,0)</f>
        <v>0</v>
      </c>
      <c r="G211" s="61">
        <f>IF($I$17=1,SpeakerCorrection1!G60,0)+IF($I$17=2,SpeakerCorrection2!G60,0)+IF($I$17=3,SpeakerCorrection3!G60,0)+IF($I$17=4,SpeakerCorrection4!G60,0)</f>
        <v>0</v>
      </c>
      <c r="H211" s="61">
        <f>IF($I$17=1,SpeakerCorrection1!H60,0)+IF($I$17=2,SpeakerCorrection2!H60,0)+IF($I$17=3,SpeakerCorrection3!H60,0)+IF($I$17=4,SpeakerCorrection4!H60,0)</f>
        <v>0</v>
      </c>
      <c r="I211" s="62"/>
    </row>
    <row r="212" spans="1:9" ht="12" customHeight="1">
      <c r="A212" s="82"/>
      <c r="B212" s="4">
        <v>100</v>
      </c>
      <c r="C212" s="5" t="s">
        <v>41</v>
      </c>
      <c r="D212" s="2" t="s">
        <v>42</v>
      </c>
      <c r="E212" s="61">
        <f>IF($I$17=1,SpeakerCorrection1!E61,0)+IF($I$17=2,SpeakerCorrection2!E61,0)+IF($I$17=3,SpeakerCorrection3!E61,0)+IF($I$17=4,SpeakerCorrection4!E61,0)</f>
        <v>0</v>
      </c>
      <c r="F212" s="61">
        <f>IF($I$17=1,SpeakerCorrection1!F61,0)+IF($I$17=2,SpeakerCorrection2!F61,0)+IF($I$17=3,SpeakerCorrection3!F61,0)+IF($I$17=4,SpeakerCorrection4!F61,0)</f>
        <v>0</v>
      </c>
      <c r="G212" s="61">
        <f>IF($I$17=1,SpeakerCorrection1!G61,0)+IF($I$17=2,SpeakerCorrection2!G61,0)+IF($I$17=3,SpeakerCorrection3!G61,0)+IF($I$17=4,SpeakerCorrection4!G61,0)</f>
        <v>0</v>
      </c>
      <c r="H212" s="61">
        <f>IF($I$17=1,SpeakerCorrection1!H61,0)+IF($I$17=2,SpeakerCorrection2!H61,0)+IF($I$17=3,SpeakerCorrection3!H61,0)+IF($I$17=4,SpeakerCorrection4!H61,0)</f>
        <v>0</v>
      </c>
      <c r="I212" s="62"/>
    </row>
    <row r="213" spans="1:9" ht="12" customHeight="1">
      <c r="A213" s="82"/>
      <c r="B213" s="4">
        <v>150</v>
      </c>
      <c r="C213" s="5" t="s">
        <v>41</v>
      </c>
      <c r="D213" s="2" t="s">
        <v>42</v>
      </c>
      <c r="E213" s="61">
        <f>IF($I$17=1,SpeakerCorrection1!E62,0)+IF($I$17=2,SpeakerCorrection2!E62,0)+IF($I$17=3,SpeakerCorrection3!E62,0)+IF($I$17=4,SpeakerCorrection4!E62,0)</f>
        <v>0</v>
      </c>
      <c r="F213" s="61">
        <f>IF($I$17=1,SpeakerCorrection1!F62,0)+IF($I$17=2,SpeakerCorrection2!F62,0)+IF($I$17=3,SpeakerCorrection3!F62,0)+IF($I$17=4,SpeakerCorrection4!F62,0)</f>
        <v>0</v>
      </c>
      <c r="G213" s="61">
        <f>IF($I$17=1,SpeakerCorrection1!G62,0)+IF($I$17=2,SpeakerCorrection2!G62,0)+IF($I$17=3,SpeakerCorrection3!G62,0)+IF($I$17=4,SpeakerCorrection4!G62,0)</f>
        <v>0</v>
      </c>
      <c r="H213" s="61">
        <f>IF($I$17=1,SpeakerCorrection1!H62,0)+IF($I$17=2,SpeakerCorrection2!H62,0)+IF($I$17=3,SpeakerCorrection3!H62,0)+IF($I$17=4,SpeakerCorrection4!H62,0)</f>
        <v>0</v>
      </c>
      <c r="I213" s="62"/>
    </row>
    <row r="214" spans="1:9" ht="12" customHeight="1">
      <c r="A214" s="82"/>
      <c r="B214" s="4">
        <v>200</v>
      </c>
      <c r="C214" s="5" t="s">
        <v>41</v>
      </c>
      <c r="D214" s="2" t="s">
        <v>42</v>
      </c>
      <c r="E214" s="61">
        <f>IF($I$17=1,SpeakerCorrection1!E63,0)+IF($I$17=2,SpeakerCorrection2!E63,0)+IF($I$17=3,SpeakerCorrection3!E63,0)+IF($I$17=4,SpeakerCorrection4!E63,0)</f>
        <v>0</v>
      </c>
      <c r="F214" s="61">
        <f>IF($I$17=1,SpeakerCorrection1!F63,0)+IF($I$17=2,SpeakerCorrection2!F63,0)+IF($I$17=3,SpeakerCorrection3!F63,0)+IF($I$17=4,SpeakerCorrection4!F63,0)</f>
        <v>0</v>
      </c>
      <c r="G214" s="61">
        <f>IF($I$17=1,SpeakerCorrection1!G63,0)+IF($I$17=2,SpeakerCorrection2!G63,0)+IF($I$17=3,SpeakerCorrection3!G63,0)+IF($I$17=4,SpeakerCorrection4!G63,0)</f>
        <v>0</v>
      </c>
      <c r="H214" s="61">
        <f>IF($I$17=1,SpeakerCorrection1!H63,0)+IF($I$17=2,SpeakerCorrection2!H63,0)+IF($I$17=3,SpeakerCorrection3!H63,0)+IF($I$17=4,SpeakerCorrection4!H63,0)</f>
        <v>0</v>
      </c>
      <c r="I214" s="62"/>
    </row>
    <row r="215" spans="1:9" ht="12" customHeight="1">
      <c r="A215" s="82"/>
      <c r="B215" s="4">
        <v>300</v>
      </c>
      <c r="C215" s="5" t="s">
        <v>41</v>
      </c>
      <c r="D215" s="2" t="s">
        <v>42</v>
      </c>
      <c r="E215" s="61">
        <f>IF($I$17=1,SpeakerCorrection1!E64,0)+IF($I$17=2,SpeakerCorrection2!E64,0)+IF($I$17=3,SpeakerCorrection3!E64,0)+IF($I$17=4,SpeakerCorrection4!E64,0)</f>
        <v>0</v>
      </c>
      <c r="F215" s="61">
        <f>IF($I$17=1,SpeakerCorrection1!F64,0)+IF($I$17=2,SpeakerCorrection2!F64,0)+IF($I$17=3,SpeakerCorrection3!F64,0)+IF($I$17=4,SpeakerCorrection4!F64,0)</f>
        <v>0</v>
      </c>
      <c r="G215" s="61">
        <f>IF($I$17=1,SpeakerCorrection1!G64,0)+IF($I$17=2,SpeakerCorrection2!G64,0)+IF($I$17=3,SpeakerCorrection3!G64,0)+IF($I$17=4,SpeakerCorrection4!G64,0)</f>
        <v>0</v>
      </c>
      <c r="H215" s="61">
        <f>IF($I$17=1,SpeakerCorrection1!H64,0)+IF($I$17=2,SpeakerCorrection2!H64,0)+IF($I$17=3,SpeakerCorrection3!H64,0)+IF($I$17=4,SpeakerCorrection4!H64,0)</f>
        <v>0</v>
      </c>
      <c r="I215" s="62"/>
    </row>
    <row r="216" spans="1:9" ht="12" customHeight="1">
      <c r="A216" s="82"/>
      <c r="B216" s="4">
        <v>400</v>
      </c>
      <c r="C216" s="5" t="s">
        <v>41</v>
      </c>
      <c r="D216" s="2" t="s">
        <v>42</v>
      </c>
      <c r="E216" s="61">
        <f>IF($I$17=1,SpeakerCorrection1!E65,0)+IF($I$17=2,SpeakerCorrection2!E65,0)+IF($I$17=3,SpeakerCorrection3!E65,0)+IF($I$17=4,SpeakerCorrection4!E65,0)</f>
        <v>0</v>
      </c>
      <c r="F216" s="61">
        <f>IF($I$17=1,SpeakerCorrection1!F65,0)+IF($I$17=2,SpeakerCorrection2!F65,0)+IF($I$17=3,SpeakerCorrection3!F65,0)+IF($I$17=4,SpeakerCorrection4!F65,0)</f>
        <v>0</v>
      </c>
      <c r="G216" s="61">
        <f>IF($I$17=1,SpeakerCorrection1!G65,0)+IF($I$17=2,SpeakerCorrection2!G65,0)+IF($I$17=3,SpeakerCorrection3!G65,0)+IF($I$17=4,SpeakerCorrection4!G65,0)</f>
        <v>0</v>
      </c>
      <c r="H216" s="61">
        <f>IF($I$17=1,SpeakerCorrection1!H65,0)+IF($I$17=2,SpeakerCorrection2!H65,0)+IF($I$17=3,SpeakerCorrection3!H65,0)+IF($I$17=4,SpeakerCorrection4!H65,0)</f>
        <v>0</v>
      </c>
      <c r="I216" s="62"/>
    </row>
    <row r="217" spans="1:9" ht="12" customHeight="1">
      <c r="A217" s="82"/>
      <c r="B217" s="4">
        <v>500</v>
      </c>
      <c r="C217" s="5" t="s">
        <v>41</v>
      </c>
      <c r="D217" s="2" t="s">
        <v>42</v>
      </c>
      <c r="E217" s="61">
        <f>IF($I$17=1,SpeakerCorrection1!E66,0)+IF($I$17=2,SpeakerCorrection2!E66,0)+IF($I$17=3,SpeakerCorrection3!E66,0)+IF($I$17=4,SpeakerCorrection4!E66,0)</f>
        <v>0</v>
      </c>
      <c r="F217" s="61">
        <f>IF($I$17=1,SpeakerCorrection1!F66,0)+IF($I$17=2,SpeakerCorrection2!F66,0)+IF($I$17=3,SpeakerCorrection3!F66,0)+IF($I$17=4,SpeakerCorrection4!F66,0)</f>
        <v>0</v>
      </c>
      <c r="G217" s="61">
        <f>IF($I$17=1,SpeakerCorrection1!G66,0)+IF($I$17=2,SpeakerCorrection2!G66,0)+IF($I$17=3,SpeakerCorrection3!G66,0)+IF($I$17=4,SpeakerCorrection4!G66,0)</f>
        <v>0</v>
      </c>
      <c r="H217" s="61">
        <f>IF($I$17=1,SpeakerCorrection1!H66,0)+IF($I$17=2,SpeakerCorrection2!H66,0)+IF($I$17=3,SpeakerCorrection3!H66,0)+IF($I$17=4,SpeakerCorrection4!H66,0)</f>
        <v>0</v>
      </c>
      <c r="I217" s="62"/>
    </row>
    <row r="218" spans="1:9" ht="12" customHeight="1">
      <c r="A218" s="82"/>
      <c r="B218" s="4">
        <v>700</v>
      </c>
      <c r="C218" s="5" t="s">
        <v>41</v>
      </c>
      <c r="D218" s="2" t="s">
        <v>42</v>
      </c>
      <c r="E218" s="61">
        <f>IF($I$17=1,SpeakerCorrection1!E67,0)+IF($I$17=2,SpeakerCorrection2!E67,0)+IF($I$17=3,SpeakerCorrection3!E67,0)+IF($I$17=4,SpeakerCorrection4!E67,0)</f>
        <v>0</v>
      </c>
      <c r="F218" s="61">
        <f>IF($I$17=1,SpeakerCorrection1!F67,0)+IF($I$17=2,SpeakerCorrection2!F67,0)+IF($I$17=3,SpeakerCorrection3!F67,0)+IF($I$17=4,SpeakerCorrection4!F67,0)</f>
        <v>0</v>
      </c>
      <c r="G218" s="61">
        <f>IF($I$17=1,SpeakerCorrection1!G67,0)+IF($I$17=2,SpeakerCorrection2!G67,0)+IF($I$17=3,SpeakerCorrection3!G67,0)+IF($I$17=4,SpeakerCorrection4!G67,0)</f>
        <v>0</v>
      </c>
      <c r="H218" s="61">
        <f>IF($I$17=1,SpeakerCorrection1!H67,0)+IF($I$17=2,SpeakerCorrection2!H67,0)+IF($I$17=3,SpeakerCorrection3!H67,0)+IF($I$17=4,SpeakerCorrection4!H67,0)</f>
        <v>0</v>
      </c>
      <c r="I218" s="62"/>
    </row>
    <row r="219" spans="1:9" ht="12" customHeight="1">
      <c r="A219" s="82"/>
      <c r="B219" s="4" t="s">
        <v>43</v>
      </c>
      <c r="C219" s="5" t="s">
        <v>41</v>
      </c>
      <c r="D219" s="2" t="s">
        <v>42</v>
      </c>
      <c r="E219" s="61">
        <f>IF($I$17=1,SpeakerCorrection1!E68,0)+IF($I$17=2,SpeakerCorrection2!E68,0)+IF($I$17=3,SpeakerCorrection3!E68,0)+IF($I$17=4,SpeakerCorrection4!E68,0)</f>
        <v>0</v>
      </c>
      <c r="F219" s="61">
        <f>IF($I$17=1,SpeakerCorrection1!F68,0)+IF($I$17=2,SpeakerCorrection2!F68,0)+IF($I$17=3,SpeakerCorrection3!F68,0)+IF($I$17=4,SpeakerCorrection4!F68,0)</f>
        <v>0</v>
      </c>
      <c r="G219" s="61">
        <f>IF($I$17=1,SpeakerCorrection1!G68,0)+IF($I$17=2,SpeakerCorrection2!G68,0)+IF($I$17=3,SpeakerCorrection3!G68,0)+IF($I$17=4,SpeakerCorrection4!G68,0)</f>
        <v>0</v>
      </c>
      <c r="H219" s="61">
        <f>IF($I$17=1,SpeakerCorrection1!H68,0)+IF($I$17=2,SpeakerCorrection2!H68,0)+IF($I$17=3,SpeakerCorrection3!H68,0)+IF($I$17=4,SpeakerCorrection4!H68,0)</f>
        <v>0</v>
      </c>
      <c r="I219" s="62"/>
    </row>
    <row r="220" spans="1:9" ht="12" customHeight="1">
      <c r="A220" s="82"/>
      <c r="B220" s="4" t="s">
        <v>44</v>
      </c>
      <c r="C220" s="5" t="s">
        <v>41</v>
      </c>
      <c r="D220" s="2" t="s">
        <v>42</v>
      </c>
      <c r="E220" s="61">
        <f>IF($I$17=1,SpeakerCorrection1!E69,0)+IF($I$17=2,SpeakerCorrection2!E69,0)+IF($I$17=3,SpeakerCorrection3!E69,0)+IF($I$17=4,SpeakerCorrection4!E69,0)</f>
        <v>0</v>
      </c>
      <c r="F220" s="61">
        <f>IF($I$17=1,SpeakerCorrection1!F69,0)+IF($I$17=2,SpeakerCorrection2!F69,0)+IF($I$17=3,SpeakerCorrection3!F69,0)+IF($I$17=4,SpeakerCorrection4!F69,0)</f>
        <v>0</v>
      </c>
      <c r="G220" s="61">
        <f>IF($I$17=1,SpeakerCorrection1!G69,0)+IF($I$17=2,SpeakerCorrection2!G69,0)+IF($I$17=3,SpeakerCorrection3!G69,0)+IF($I$17=4,SpeakerCorrection4!G69,0)</f>
        <v>0</v>
      </c>
      <c r="H220" s="61">
        <f>IF($I$17=1,SpeakerCorrection1!H69,0)+IF($I$17=2,SpeakerCorrection2!H69,0)+IF($I$17=3,SpeakerCorrection3!H69,0)+IF($I$17=4,SpeakerCorrection4!H69,0)</f>
        <v>0</v>
      </c>
      <c r="I220" s="62"/>
    </row>
    <row r="221" spans="1:9" ht="12" customHeight="1">
      <c r="A221" s="82"/>
      <c r="B221" s="4" t="s">
        <v>45</v>
      </c>
      <c r="C221" s="5" t="s">
        <v>41</v>
      </c>
      <c r="D221" s="2" t="s">
        <v>42</v>
      </c>
      <c r="E221" s="61">
        <f>IF($I$17=1,SpeakerCorrection1!E70,0)+IF($I$17=2,SpeakerCorrection2!E70,0)+IF($I$17=3,SpeakerCorrection3!E70,0)+IF($I$17=4,SpeakerCorrection4!E70,0)</f>
        <v>0</v>
      </c>
      <c r="F221" s="61">
        <f>IF($I$17=1,SpeakerCorrection1!F70,0)+IF($I$17=2,SpeakerCorrection2!F70,0)+IF($I$17=3,SpeakerCorrection3!F70,0)+IF($I$17=4,SpeakerCorrection4!F70,0)</f>
        <v>0</v>
      </c>
      <c r="G221" s="61">
        <f>IF($I$17=1,SpeakerCorrection1!G70,0)+IF($I$17=2,SpeakerCorrection2!G70,0)+IF($I$17=3,SpeakerCorrection3!G70,0)+IF($I$17=4,SpeakerCorrection4!G70,0)</f>
        <v>0</v>
      </c>
      <c r="H221" s="61">
        <f>IF($I$17=1,SpeakerCorrection1!H70,0)+IF($I$17=2,SpeakerCorrection2!H70,0)+IF($I$17=3,SpeakerCorrection3!H70,0)+IF($I$17=4,SpeakerCorrection4!H70,0)</f>
        <v>0</v>
      </c>
      <c r="I221" s="62"/>
    </row>
    <row r="222" spans="1:9" ht="12" customHeight="1">
      <c r="A222" s="82"/>
      <c r="B222" s="4" t="s">
        <v>46</v>
      </c>
      <c r="C222" s="5" t="s">
        <v>41</v>
      </c>
      <c r="D222" s="2" t="s">
        <v>42</v>
      </c>
      <c r="E222" s="61">
        <f>IF($I$17=1,SpeakerCorrection1!E71,0)+IF($I$17=2,SpeakerCorrection2!E71,0)+IF($I$17=3,SpeakerCorrection3!E71,0)+IF($I$17=4,SpeakerCorrection4!E71,0)</f>
        <v>0</v>
      </c>
      <c r="F222" s="61">
        <f>IF($I$17=1,SpeakerCorrection1!F71,0)+IF($I$17=2,SpeakerCorrection2!F71,0)+IF($I$17=3,SpeakerCorrection3!F71,0)+IF($I$17=4,SpeakerCorrection4!F71,0)</f>
        <v>0</v>
      </c>
      <c r="G222" s="61">
        <f>IF($I$17=1,SpeakerCorrection1!G71,0)+IF($I$17=2,SpeakerCorrection2!G71,0)+IF($I$17=3,SpeakerCorrection3!G71,0)+IF($I$17=4,SpeakerCorrection4!G71,0)</f>
        <v>0</v>
      </c>
      <c r="H222" s="61">
        <f>IF($I$17=1,SpeakerCorrection1!H71,0)+IF($I$17=2,SpeakerCorrection2!H71,0)+IF($I$17=3,SpeakerCorrection3!H71,0)+IF($I$17=4,SpeakerCorrection4!H71,0)</f>
        <v>0</v>
      </c>
      <c r="I222" s="62"/>
    </row>
    <row r="223" spans="1:9" ht="12" customHeight="1">
      <c r="A223" s="82"/>
      <c r="B223" s="4" t="s">
        <v>47</v>
      </c>
      <c r="C223" s="5" t="s">
        <v>41</v>
      </c>
      <c r="D223" s="2" t="s">
        <v>42</v>
      </c>
      <c r="E223" s="61">
        <f>IF($I$17=1,SpeakerCorrection1!E72,0)+IF($I$17=2,SpeakerCorrection2!E72,0)+IF($I$17=3,SpeakerCorrection3!E72,0)+IF($I$17=4,SpeakerCorrection4!E72,0)</f>
        <v>0</v>
      </c>
      <c r="F223" s="61">
        <f>IF($I$17=1,SpeakerCorrection1!F72,0)+IF($I$17=2,SpeakerCorrection2!F72,0)+IF($I$17=3,SpeakerCorrection3!F72,0)+IF($I$17=4,SpeakerCorrection4!F72,0)</f>
        <v>0</v>
      </c>
      <c r="G223" s="61">
        <f>IF($I$17=1,SpeakerCorrection1!G72,0)+IF($I$17=2,SpeakerCorrection2!G72,0)+IF($I$17=3,SpeakerCorrection3!G72,0)+IF($I$17=4,SpeakerCorrection4!G72,0)</f>
        <v>0</v>
      </c>
      <c r="H223" s="61">
        <f>IF($I$17=1,SpeakerCorrection1!H72,0)+IF($I$17=2,SpeakerCorrection2!H72,0)+IF($I$17=3,SpeakerCorrection3!H72,0)+IF($I$17=4,SpeakerCorrection4!H72,0)</f>
        <v>0</v>
      </c>
      <c r="I223" s="62"/>
    </row>
    <row r="224" spans="1:9" ht="12" customHeight="1">
      <c r="A224" s="82"/>
      <c r="B224" s="4" t="s">
        <v>48</v>
      </c>
      <c r="C224" s="5" t="s">
        <v>41</v>
      </c>
      <c r="D224" s="2" t="s">
        <v>42</v>
      </c>
      <c r="E224" s="61">
        <f>IF($I$17=1,SpeakerCorrection1!E73,0)+IF($I$17=2,SpeakerCorrection2!E73,0)+IF($I$17=3,SpeakerCorrection3!E73,0)+IF($I$17=4,SpeakerCorrection4!E73,0)</f>
        <v>0</v>
      </c>
      <c r="F224" s="61">
        <f>IF($I$17=1,SpeakerCorrection1!F73,0)+IF($I$17=2,SpeakerCorrection2!F73,0)+IF($I$17=3,SpeakerCorrection3!F73,0)+IF($I$17=4,SpeakerCorrection4!F73,0)</f>
        <v>0</v>
      </c>
      <c r="G224" s="61">
        <f>IF($I$17=1,SpeakerCorrection1!G73,0)+IF($I$17=2,SpeakerCorrection2!G73,0)+IF($I$17=3,SpeakerCorrection3!G73,0)+IF($I$17=4,SpeakerCorrection4!G73,0)</f>
        <v>0</v>
      </c>
      <c r="H224" s="61">
        <f>IF($I$17=1,SpeakerCorrection1!H73,0)+IF($I$17=2,SpeakerCorrection2!H73,0)+IF($I$17=3,SpeakerCorrection3!H73,0)+IF($I$17=4,SpeakerCorrection4!H73,0)</f>
        <v>0</v>
      </c>
      <c r="I224" s="62"/>
    </row>
    <row r="225" spans="1:9" ht="12" customHeight="1">
      <c r="A225" s="82"/>
      <c r="B225" s="4" t="s">
        <v>49</v>
      </c>
      <c r="C225" s="5" t="s">
        <v>41</v>
      </c>
      <c r="D225" s="2" t="s">
        <v>42</v>
      </c>
      <c r="E225" s="61">
        <f>IF($I$17=1,SpeakerCorrection1!E74,0)+IF($I$17=2,SpeakerCorrection2!E74,0)+IF($I$17=3,SpeakerCorrection3!E74,0)+IF($I$17=4,SpeakerCorrection4!E74,0)</f>
        <v>0</v>
      </c>
      <c r="F225" s="61">
        <f>IF($I$17=1,SpeakerCorrection1!F74,0)+IF($I$17=2,SpeakerCorrection2!F74,0)+IF($I$17=3,SpeakerCorrection3!F74,0)+IF($I$17=4,SpeakerCorrection4!F74,0)</f>
        <v>0</v>
      </c>
      <c r="G225" s="61">
        <f>IF($I$17=1,SpeakerCorrection1!G74,0)+IF($I$17=2,SpeakerCorrection2!G74,0)+IF($I$17=3,SpeakerCorrection3!G74,0)+IF($I$17=4,SpeakerCorrection4!G74,0)</f>
        <v>0</v>
      </c>
      <c r="H225" s="61">
        <f>IF($I$17=1,SpeakerCorrection1!H74,0)+IF($I$17=2,SpeakerCorrection2!H74,0)+IF($I$17=3,SpeakerCorrection3!H74,0)+IF($I$17=4,SpeakerCorrection4!H74,0)</f>
        <v>0</v>
      </c>
      <c r="I225" s="62"/>
    </row>
    <row r="226" spans="1:9" ht="12" customHeight="1">
      <c r="A226" s="82"/>
      <c r="B226" s="4" t="s">
        <v>50</v>
      </c>
      <c r="C226" s="5" t="s">
        <v>41</v>
      </c>
      <c r="D226" s="2" t="s">
        <v>42</v>
      </c>
      <c r="E226" s="61">
        <f>IF($I$17=1,SpeakerCorrection1!E75,0)+IF($I$17=2,SpeakerCorrection2!E75,0)+IF($I$17=3,SpeakerCorrection3!E75,0)+IF($I$17=4,SpeakerCorrection4!E75,0)</f>
        <v>0</v>
      </c>
      <c r="F226" s="61">
        <f>IF($I$17=1,SpeakerCorrection1!F75,0)+IF($I$17=2,SpeakerCorrection2!F75,0)+IF($I$17=3,SpeakerCorrection3!F75,0)+IF($I$17=4,SpeakerCorrection4!F75,0)</f>
        <v>0</v>
      </c>
      <c r="G226" s="61">
        <f>IF($I$17=1,SpeakerCorrection1!G75,0)+IF($I$17=2,SpeakerCorrection2!G75,0)+IF($I$17=3,SpeakerCorrection3!G75,0)+IF($I$17=4,SpeakerCorrection4!G75,0)</f>
        <v>0</v>
      </c>
      <c r="H226" s="61">
        <f>IF($I$17=1,SpeakerCorrection1!H75,0)+IF($I$17=2,SpeakerCorrection2!H75,0)+IF($I$17=3,SpeakerCorrection3!H75,0)+IF($I$17=4,SpeakerCorrection4!H75,0)</f>
        <v>0</v>
      </c>
      <c r="I226" s="62"/>
    </row>
    <row r="227" spans="1:9" ht="12" customHeight="1">
      <c r="A227" s="82"/>
      <c r="B227" s="4" t="s">
        <v>51</v>
      </c>
      <c r="C227" s="5" t="s">
        <v>41</v>
      </c>
      <c r="D227" s="2" t="s">
        <v>42</v>
      </c>
      <c r="E227" s="61">
        <f>IF($I$17=1,SpeakerCorrection1!E76,0)+IF($I$17=2,SpeakerCorrection2!E76,0)+IF($I$17=3,SpeakerCorrection3!E76,0)+IF($I$17=4,SpeakerCorrection4!E76,0)</f>
        <v>0</v>
      </c>
      <c r="F227" s="61">
        <f>IF($I$17=1,SpeakerCorrection1!F76,0)+IF($I$17=2,SpeakerCorrection2!F76,0)+IF($I$17=3,SpeakerCorrection3!F76,0)+IF($I$17=4,SpeakerCorrection4!F76,0)</f>
        <v>0</v>
      </c>
      <c r="G227" s="61">
        <f>IF($I$17=1,SpeakerCorrection1!G76,0)+IF($I$17=2,SpeakerCorrection2!G76,0)+IF($I$17=3,SpeakerCorrection3!G76,0)+IF($I$17=4,SpeakerCorrection4!G76,0)</f>
        <v>0</v>
      </c>
      <c r="H227" s="61">
        <f>IF($I$17=1,SpeakerCorrection1!H76,0)+IF($I$17=2,SpeakerCorrection2!H76,0)+IF($I$17=3,SpeakerCorrection3!H76,0)+IF($I$17=4,SpeakerCorrection4!H76,0)</f>
        <v>0</v>
      </c>
      <c r="I227" s="62"/>
    </row>
    <row r="228" spans="1:9" ht="12" customHeight="1">
      <c r="A228" s="83"/>
      <c r="B228" s="4" t="s">
        <v>52</v>
      </c>
      <c r="C228" s="5" t="s">
        <v>41</v>
      </c>
      <c r="D228" s="2" t="s">
        <v>42</v>
      </c>
      <c r="E228" s="61">
        <f>IF($I$17=1,SpeakerCorrection1!E77,0)+IF($I$17=2,SpeakerCorrection2!E77,0)+IF($I$17=3,SpeakerCorrection3!E77,0)+IF($I$17=4,SpeakerCorrection4!E77,0)</f>
        <v>0</v>
      </c>
      <c r="F228" s="61">
        <f>IF($I$17=1,SpeakerCorrection1!F77,0)+IF($I$17=2,SpeakerCorrection2!F77,0)+IF($I$17=3,SpeakerCorrection3!F77,0)+IF($I$17=4,SpeakerCorrection4!F77,0)</f>
        <v>0</v>
      </c>
      <c r="G228" s="61">
        <f>IF($I$17=1,SpeakerCorrection1!G77,0)+IF($I$17=2,SpeakerCorrection2!G77,0)+IF($I$17=3,SpeakerCorrection3!G77,0)+IF($I$17=4,SpeakerCorrection4!G77,0)</f>
        <v>0</v>
      </c>
      <c r="H228" s="61">
        <f>IF($I$17=1,SpeakerCorrection1!H77,0)+IF($I$17=2,SpeakerCorrection2!H77,0)+IF($I$17=3,SpeakerCorrection3!H77,0)+IF($I$17=4,SpeakerCorrection4!H77,0)</f>
        <v>0</v>
      </c>
      <c r="I228" s="62"/>
    </row>
    <row r="229" spans="1:9" ht="12" customHeight="1">
      <c r="A229" s="81" t="s">
        <v>123</v>
      </c>
      <c r="B229" s="4">
        <v>20</v>
      </c>
      <c r="C229" s="5" t="s">
        <v>17</v>
      </c>
      <c r="D229" s="2" t="s">
        <v>18</v>
      </c>
      <c r="E229" s="61">
        <f>IF($I$17=1,SpeakerCorrection1!E78,0)+IF($I$17=2,SpeakerCorrection2!E78,0)+IF($I$17=3,SpeakerCorrection3!E78,0)+IF($I$17=4,SpeakerCorrection4!E78,0)</f>
        <v>0</v>
      </c>
      <c r="F229" s="61">
        <f>IF($I$17=1,SpeakerCorrection1!F78,0)+IF($I$17=2,SpeakerCorrection2!F78,0)+IF($I$17=3,SpeakerCorrection3!F78,0)+IF($I$17=4,SpeakerCorrection4!F78,0)</f>
        <v>0</v>
      </c>
      <c r="G229" s="61">
        <f>IF($I$17=1,SpeakerCorrection1!G78,0)+IF($I$17=2,SpeakerCorrection2!G78,0)+IF($I$17=3,SpeakerCorrection3!G78,0)+IF($I$17=4,SpeakerCorrection4!G78,0)</f>
        <v>0</v>
      </c>
      <c r="H229" s="61">
        <f>IF($I$17=1,SpeakerCorrection1!H78,0)+IF($I$17=2,SpeakerCorrection2!H78,0)+IF($I$17=3,SpeakerCorrection3!H78,0)+IF($I$17=4,SpeakerCorrection4!H78,0)</f>
        <v>0</v>
      </c>
      <c r="I229" s="62"/>
    </row>
    <row r="230" spans="1:9" ht="12" customHeight="1">
      <c r="A230" s="82"/>
      <c r="B230" s="4">
        <v>30</v>
      </c>
      <c r="C230" s="5" t="s">
        <v>19</v>
      </c>
      <c r="D230" s="2" t="s">
        <v>18</v>
      </c>
      <c r="E230" s="61">
        <f>IF($I$17=1,SpeakerCorrection1!E79,0)+IF($I$17=2,SpeakerCorrection2!E79,0)+IF($I$17=3,SpeakerCorrection3!E79,0)+IF($I$17=4,SpeakerCorrection4!E79,0)</f>
        <v>0</v>
      </c>
      <c r="F230" s="61">
        <f>IF($I$17=1,SpeakerCorrection1!F79,0)+IF($I$17=2,SpeakerCorrection2!F79,0)+IF($I$17=3,SpeakerCorrection3!F79,0)+IF($I$17=4,SpeakerCorrection4!F79,0)</f>
        <v>0</v>
      </c>
      <c r="G230" s="61">
        <f>IF($I$17=1,SpeakerCorrection1!G79,0)+IF($I$17=2,SpeakerCorrection2!G79,0)+IF($I$17=3,SpeakerCorrection3!G79,0)+IF($I$17=4,SpeakerCorrection4!G79,0)</f>
        <v>0</v>
      </c>
      <c r="H230" s="61">
        <f>IF($I$17=1,SpeakerCorrection1!H79,0)+IF($I$17=2,SpeakerCorrection2!H79,0)+IF($I$17=3,SpeakerCorrection3!H79,0)+IF($I$17=4,SpeakerCorrection4!H79,0)</f>
        <v>0</v>
      </c>
      <c r="I230" s="62"/>
    </row>
    <row r="231" spans="1:9" ht="12" customHeight="1">
      <c r="A231" s="82"/>
      <c r="B231" s="4">
        <v>40</v>
      </c>
      <c r="C231" s="5" t="s">
        <v>19</v>
      </c>
      <c r="D231" s="2" t="s">
        <v>18</v>
      </c>
      <c r="E231" s="61">
        <f>IF($I$17=1,SpeakerCorrection1!E80,0)+IF($I$17=2,SpeakerCorrection2!E80,0)+IF($I$17=3,SpeakerCorrection3!E80,0)+IF($I$17=4,SpeakerCorrection4!E80,0)</f>
        <v>0</v>
      </c>
      <c r="F231" s="61">
        <f>IF($I$17=1,SpeakerCorrection1!F80,0)+IF($I$17=2,SpeakerCorrection2!F80,0)+IF($I$17=3,SpeakerCorrection3!F80,0)+IF($I$17=4,SpeakerCorrection4!F80,0)</f>
        <v>0</v>
      </c>
      <c r="G231" s="61">
        <f>IF($I$17=1,SpeakerCorrection1!G80,0)+IF($I$17=2,SpeakerCorrection2!G80,0)+IF($I$17=3,SpeakerCorrection3!G80,0)+IF($I$17=4,SpeakerCorrection4!G80,0)</f>
        <v>0</v>
      </c>
      <c r="H231" s="61">
        <f>IF($I$17=1,SpeakerCorrection1!H80,0)+IF($I$17=2,SpeakerCorrection2!H80,0)+IF($I$17=3,SpeakerCorrection3!H80,0)+IF($I$17=4,SpeakerCorrection4!H80,0)</f>
        <v>0</v>
      </c>
      <c r="I231" s="62"/>
    </row>
    <row r="232" spans="1:9" ht="12" customHeight="1">
      <c r="A232" s="82"/>
      <c r="B232" s="4">
        <v>50</v>
      </c>
      <c r="C232" s="5" t="s">
        <v>19</v>
      </c>
      <c r="D232" s="2" t="s">
        <v>18</v>
      </c>
      <c r="E232" s="61">
        <f>IF($I$17=1,SpeakerCorrection1!E81,0)+IF($I$17=2,SpeakerCorrection2!E81,0)+IF($I$17=3,SpeakerCorrection3!E81,0)+IF($I$17=4,SpeakerCorrection4!E81,0)</f>
        <v>0</v>
      </c>
      <c r="F232" s="61">
        <f>IF($I$17=1,SpeakerCorrection1!F81,0)+IF($I$17=2,SpeakerCorrection2!F81,0)+IF($I$17=3,SpeakerCorrection3!F81,0)+IF($I$17=4,SpeakerCorrection4!F81,0)</f>
        <v>0</v>
      </c>
      <c r="G232" s="61">
        <f>IF($I$17=1,SpeakerCorrection1!G81,0)+IF($I$17=2,SpeakerCorrection2!G81,0)+IF($I$17=3,SpeakerCorrection3!G81,0)+IF($I$17=4,SpeakerCorrection4!G81,0)</f>
        <v>0</v>
      </c>
      <c r="H232" s="61">
        <f>IF($I$17=1,SpeakerCorrection1!H81,0)+IF($I$17=2,SpeakerCorrection2!H81,0)+IF($I$17=3,SpeakerCorrection3!H81,0)+IF($I$17=4,SpeakerCorrection4!H81,0)</f>
        <v>0</v>
      </c>
      <c r="I232" s="62"/>
    </row>
    <row r="233" spans="1:9" ht="12" customHeight="1">
      <c r="A233" s="82"/>
      <c r="B233" s="4">
        <v>70</v>
      </c>
      <c r="C233" s="5" t="s">
        <v>19</v>
      </c>
      <c r="D233" s="2" t="s">
        <v>18</v>
      </c>
      <c r="E233" s="61">
        <f>IF($I$17=1,SpeakerCorrection1!E82,0)+IF($I$17=2,SpeakerCorrection2!E82,0)+IF($I$17=3,SpeakerCorrection3!E82,0)+IF($I$17=4,SpeakerCorrection4!E82,0)</f>
        <v>0</v>
      </c>
      <c r="F233" s="61">
        <f>IF($I$17=1,SpeakerCorrection1!F82,0)+IF($I$17=2,SpeakerCorrection2!F82,0)+IF($I$17=3,SpeakerCorrection3!F82,0)+IF($I$17=4,SpeakerCorrection4!F82,0)</f>
        <v>0</v>
      </c>
      <c r="G233" s="61">
        <f>IF($I$17=1,SpeakerCorrection1!G82,0)+IF($I$17=2,SpeakerCorrection2!G82,0)+IF($I$17=3,SpeakerCorrection3!G82,0)+IF($I$17=4,SpeakerCorrection4!G82,0)</f>
        <v>0</v>
      </c>
      <c r="H233" s="61">
        <f>IF($I$17=1,SpeakerCorrection1!H82,0)+IF($I$17=2,SpeakerCorrection2!H82,0)+IF($I$17=3,SpeakerCorrection3!H82,0)+IF($I$17=4,SpeakerCorrection4!H82,0)</f>
        <v>0</v>
      </c>
      <c r="I233" s="62"/>
    </row>
    <row r="234" spans="1:9" ht="12" customHeight="1">
      <c r="A234" s="82"/>
      <c r="B234" s="4">
        <v>100</v>
      </c>
      <c r="C234" s="5" t="s">
        <v>19</v>
      </c>
      <c r="D234" s="2" t="s">
        <v>18</v>
      </c>
      <c r="E234" s="61">
        <f>IF($I$17=1,SpeakerCorrection1!E83,0)+IF($I$17=2,SpeakerCorrection2!E83,0)+IF($I$17=3,SpeakerCorrection3!E83,0)+IF($I$17=4,SpeakerCorrection4!E83,0)</f>
        <v>0</v>
      </c>
      <c r="F234" s="61">
        <f>IF($I$17=1,SpeakerCorrection1!F83,0)+IF($I$17=2,SpeakerCorrection2!F83,0)+IF($I$17=3,SpeakerCorrection3!F83,0)+IF($I$17=4,SpeakerCorrection4!F83,0)</f>
        <v>0</v>
      </c>
      <c r="G234" s="61">
        <f>IF($I$17=1,SpeakerCorrection1!G83,0)+IF($I$17=2,SpeakerCorrection2!G83,0)+IF($I$17=3,SpeakerCorrection3!G83,0)+IF($I$17=4,SpeakerCorrection4!G83,0)</f>
        <v>0</v>
      </c>
      <c r="H234" s="61">
        <f>IF($I$17=1,SpeakerCorrection1!H83,0)+IF($I$17=2,SpeakerCorrection2!H83,0)+IF($I$17=3,SpeakerCorrection3!H83,0)+IF($I$17=4,SpeakerCorrection4!H83,0)</f>
        <v>0</v>
      </c>
      <c r="I234" s="62"/>
    </row>
    <row r="235" spans="1:9" ht="12" customHeight="1">
      <c r="A235" s="82"/>
      <c r="B235" s="4">
        <v>150</v>
      </c>
      <c r="C235" s="5" t="s">
        <v>19</v>
      </c>
      <c r="D235" s="2" t="s">
        <v>18</v>
      </c>
      <c r="E235" s="61">
        <f>IF($I$17=1,SpeakerCorrection1!E84,0)+IF($I$17=2,SpeakerCorrection2!E84,0)+IF($I$17=3,SpeakerCorrection3!E84,0)+IF($I$17=4,SpeakerCorrection4!E84,0)</f>
        <v>0</v>
      </c>
      <c r="F235" s="61">
        <f>IF($I$17=1,SpeakerCorrection1!F84,0)+IF($I$17=2,SpeakerCorrection2!F84,0)+IF($I$17=3,SpeakerCorrection3!F84,0)+IF($I$17=4,SpeakerCorrection4!F84,0)</f>
        <v>0</v>
      </c>
      <c r="G235" s="61">
        <f>IF($I$17=1,SpeakerCorrection1!G84,0)+IF($I$17=2,SpeakerCorrection2!G84,0)+IF($I$17=3,SpeakerCorrection3!G84,0)+IF($I$17=4,SpeakerCorrection4!G84,0)</f>
        <v>0</v>
      </c>
      <c r="H235" s="61">
        <f>IF($I$17=1,SpeakerCorrection1!H84,0)+IF($I$17=2,SpeakerCorrection2!H84,0)+IF($I$17=3,SpeakerCorrection3!H84,0)+IF($I$17=4,SpeakerCorrection4!H84,0)</f>
        <v>0</v>
      </c>
      <c r="I235" s="62"/>
    </row>
    <row r="236" spans="1:9" ht="12" customHeight="1">
      <c r="A236" s="82"/>
      <c r="B236" s="4">
        <v>200</v>
      </c>
      <c r="C236" s="5" t="s">
        <v>19</v>
      </c>
      <c r="D236" s="2" t="s">
        <v>18</v>
      </c>
      <c r="E236" s="61">
        <f>IF($I$17=1,SpeakerCorrection1!E85,0)+IF($I$17=2,SpeakerCorrection2!E85,0)+IF($I$17=3,SpeakerCorrection3!E85,0)+IF($I$17=4,SpeakerCorrection4!E85,0)</f>
        <v>0</v>
      </c>
      <c r="F236" s="61">
        <f>IF($I$17=1,SpeakerCorrection1!F85,0)+IF($I$17=2,SpeakerCorrection2!F85,0)+IF($I$17=3,SpeakerCorrection3!F85,0)+IF($I$17=4,SpeakerCorrection4!F85,0)</f>
        <v>0</v>
      </c>
      <c r="G236" s="61">
        <f>IF($I$17=1,SpeakerCorrection1!G85,0)+IF($I$17=2,SpeakerCorrection2!G85,0)+IF($I$17=3,SpeakerCorrection3!G85,0)+IF($I$17=4,SpeakerCorrection4!G85,0)</f>
        <v>0</v>
      </c>
      <c r="H236" s="61">
        <f>IF($I$17=1,SpeakerCorrection1!H85,0)+IF($I$17=2,SpeakerCorrection2!H85,0)+IF($I$17=3,SpeakerCorrection3!H85,0)+IF($I$17=4,SpeakerCorrection4!H85,0)</f>
        <v>0</v>
      </c>
      <c r="I236" s="62"/>
    </row>
    <row r="237" spans="1:9" ht="12" customHeight="1">
      <c r="A237" s="82"/>
      <c r="B237" s="4">
        <v>300</v>
      </c>
      <c r="C237" s="5" t="s">
        <v>19</v>
      </c>
      <c r="D237" s="2" t="s">
        <v>18</v>
      </c>
      <c r="E237" s="61">
        <f>IF($I$17=1,SpeakerCorrection1!E86,0)+IF($I$17=2,SpeakerCorrection2!E86,0)+IF($I$17=3,SpeakerCorrection3!E86,0)+IF($I$17=4,SpeakerCorrection4!E86,0)</f>
        <v>0</v>
      </c>
      <c r="F237" s="61">
        <f>IF($I$17=1,SpeakerCorrection1!F86,0)+IF($I$17=2,SpeakerCorrection2!F86,0)+IF($I$17=3,SpeakerCorrection3!F86,0)+IF($I$17=4,SpeakerCorrection4!F86,0)</f>
        <v>0</v>
      </c>
      <c r="G237" s="61">
        <f>IF($I$17=1,SpeakerCorrection1!G86,0)+IF($I$17=2,SpeakerCorrection2!G86,0)+IF($I$17=3,SpeakerCorrection3!G86,0)+IF($I$17=4,SpeakerCorrection4!G86,0)</f>
        <v>0</v>
      </c>
      <c r="H237" s="61">
        <f>IF($I$17=1,SpeakerCorrection1!H86,0)+IF($I$17=2,SpeakerCorrection2!H86,0)+IF($I$17=3,SpeakerCorrection3!H86,0)+IF($I$17=4,SpeakerCorrection4!H86,0)</f>
        <v>0</v>
      </c>
      <c r="I237" s="62"/>
    </row>
    <row r="238" spans="1:9" ht="12" customHeight="1">
      <c r="A238" s="82"/>
      <c r="B238" s="4">
        <v>400</v>
      </c>
      <c r="C238" s="5" t="s">
        <v>19</v>
      </c>
      <c r="D238" s="2" t="s">
        <v>18</v>
      </c>
      <c r="E238" s="61">
        <f>IF($I$17=1,SpeakerCorrection1!E87,0)+IF($I$17=2,SpeakerCorrection2!E87,0)+IF($I$17=3,SpeakerCorrection3!E87,0)+IF($I$17=4,SpeakerCorrection4!E87,0)</f>
        <v>0</v>
      </c>
      <c r="F238" s="61">
        <f>IF($I$17=1,SpeakerCorrection1!F87,0)+IF($I$17=2,SpeakerCorrection2!F87,0)+IF($I$17=3,SpeakerCorrection3!F87,0)+IF($I$17=4,SpeakerCorrection4!F87,0)</f>
        <v>0</v>
      </c>
      <c r="G238" s="61">
        <f>IF($I$17=1,SpeakerCorrection1!G87,0)+IF($I$17=2,SpeakerCorrection2!G87,0)+IF($I$17=3,SpeakerCorrection3!G87,0)+IF($I$17=4,SpeakerCorrection4!G87,0)</f>
        <v>0</v>
      </c>
      <c r="H238" s="61">
        <f>IF($I$17=1,SpeakerCorrection1!H87,0)+IF($I$17=2,SpeakerCorrection2!H87,0)+IF($I$17=3,SpeakerCorrection3!H87,0)+IF($I$17=4,SpeakerCorrection4!H87,0)</f>
        <v>0</v>
      </c>
      <c r="I238" s="62"/>
    </row>
    <row r="239" spans="1:9" ht="12" customHeight="1">
      <c r="A239" s="82"/>
      <c r="B239" s="4">
        <v>500</v>
      </c>
      <c r="C239" s="5" t="s">
        <v>19</v>
      </c>
      <c r="D239" s="2" t="s">
        <v>18</v>
      </c>
      <c r="E239" s="61">
        <f>IF($I$17=1,SpeakerCorrection1!E88,0)+IF($I$17=2,SpeakerCorrection2!E88,0)+IF($I$17=3,SpeakerCorrection3!E88,0)+IF($I$17=4,SpeakerCorrection4!E88,0)</f>
        <v>0</v>
      </c>
      <c r="F239" s="61">
        <f>IF($I$17=1,SpeakerCorrection1!F88,0)+IF($I$17=2,SpeakerCorrection2!F88,0)+IF($I$17=3,SpeakerCorrection3!F88,0)+IF($I$17=4,SpeakerCorrection4!F88,0)</f>
        <v>0</v>
      </c>
      <c r="G239" s="61">
        <f>IF($I$17=1,SpeakerCorrection1!G88,0)+IF($I$17=2,SpeakerCorrection2!G88,0)+IF($I$17=3,SpeakerCorrection3!G88,0)+IF($I$17=4,SpeakerCorrection4!G88,0)</f>
        <v>0</v>
      </c>
      <c r="H239" s="61">
        <f>IF($I$17=1,SpeakerCorrection1!H88,0)+IF($I$17=2,SpeakerCorrection2!H88,0)+IF($I$17=3,SpeakerCorrection3!H88,0)+IF($I$17=4,SpeakerCorrection4!H88,0)</f>
        <v>0</v>
      </c>
      <c r="I239" s="62"/>
    </row>
    <row r="240" spans="1:9" ht="12" customHeight="1">
      <c r="A240" s="82"/>
      <c r="B240" s="4">
        <v>700</v>
      </c>
      <c r="C240" s="5" t="s">
        <v>19</v>
      </c>
      <c r="D240" s="2" t="s">
        <v>18</v>
      </c>
      <c r="E240" s="61">
        <f>IF($I$17=1,SpeakerCorrection1!E89,0)+IF($I$17=2,SpeakerCorrection2!E89,0)+IF($I$17=3,SpeakerCorrection3!E89,0)+IF($I$17=4,SpeakerCorrection4!E89,0)</f>
        <v>0</v>
      </c>
      <c r="F240" s="61">
        <f>IF($I$17=1,SpeakerCorrection1!F89,0)+IF($I$17=2,SpeakerCorrection2!F89,0)+IF($I$17=3,SpeakerCorrection3!F89,0)+IF($I$17=4,SpeakerCorrection4!F89,0)</f>
        <v>0</v>
      </c>
      <c r="G240" s="61">
        <f>IF($I$17=1,SpeakerCorrection1!G89,0)+IF($I$17=2,SpeakerCorrection2!G89,0)+IF($I$17=3,SpeakerCorrection3!G89,0)+IF($I$17=4,SpeakerCorrection4!G89,0)</f>
        <v>0</v>
      </c>
      <c r="H240" s="61">
        <f>IF($I$17=1,SpeakerCorrection1!H89,0)+IF($I$17=2,SpeakerCorrection2!H89,0)+IF($I$17=3,SpeakerCorrection3!H89,0)+IF($I$17=4,SpeakerCorrection4!H89,0)</f>
        <v>0</v>
      </c>
      <c r="I240" s="62"/>
    </row>
    <row r="241" spans="1:9" ht="12" customHeight="1">
      <c r="A241" s="82"/>
      <c r="B241" s="4" t="s">
        <v>21</v>
      </c>
      <c r="C241" s="5" t="s">
        <v>19</v>
      </c>
      <c r="D241" s="2" t="s">
        <v>18</v>
      </c>
      <c r="E241" s="61">
        <f>IF($I$17=1,SpeakerCorrection1!E90,0)+IF($I$17=2,SpeakerCorrection2!E90,0)+IF($I$17=3,SpeakerCorrection3!E90,0)+IF($I$17=4,SpeakerCorrection4!E90,0)</f>
        <v>0</v>
      </c>
      <c r="F241" s="61">
        <f>IF($I$17=1,SpeakerCorrection1!F90,0)+IF($I$17=2,SpeakerCorrection2!F90,0)+IF($I$17=3,SpeakerCorrection3!F90,0)+IF($I$17=4,SpeakerCorrection4!F90,0)</f>
        <v>0</v>
      </c>
      <c r="G241" s="61">
        <f>IF($I$17=1,SpeakerCorrection1!G90,0)+IF($I$17=2,SpeakerCorrection2!G90,0)+IF($I$17=3,SpeakerCorrection3!G90,0)+IF($I$17=4,SpeakerCorrection4!G90,0)</f>
        <v>0</v>
      </c>
      <c r="H241" s="61">
        <f>IF($I$17=1,SpeakerCorrection1!H90,0)+IF($I$17=2,SpeakerCorrection2!H90,0)+IF($I$17=3,SpeakerCorrection3!H90,0)+IF($I$17=4,SpeakerCorrection4!H90,0)</f>
        <v>0</v>
      </c>
      <c r="I241" s="62"/>
    </row>
    <row r="242" spans="1:9" ht="12" customHeight="1">
      <c r="A242" s="82"/>
      <c r="B242" s="4" t="s">
        <v>22</v>
      </c>
      <c r="C242" s="5" t="s">
        <v>19</v>
      </c>
      <c r="D242" s="2" t="s">
        <v>18</v>
      </c>
      <c r="E242" s="61">
        <f>IF($I$17=1,SpeakerCorrection1!E91,0)+IF($I$17=2,SpeakerCorrection2!E91,0)+IF($I$17=3,SpeakerCorrection3!E91,0)+IF($I$17=4,SpeakerCorrection4!E91,0)</f>
        <v>0</v>
      </c>
      <c r="F242" s="61">
        <f>IF($I$17=1,SpeakerCorrection1!F91,0)+IF($I$17=2,SpeakerCorrection2!F91,0)+IF($I$17=3,SpeakerCorrection3!F91,0)+IF($I$17=4,SpeakerCorrection4!F91,0)</f>
        <v>0</v>
      </c>
      <c r="G242" s="61">
        <f>IF($I$17=1,SpeakerCorrection1!G91,0)+IF($I$17=2,SpeakerCorrection2!G91,0)+IF($I$17=3,SpeakerCorrection3!G91,0)+IF($I$17=4,SpeakerCorrection4!G91,0)</f>
        <v>0</v>
      </c>
      <c r="H242" s="61">
        <f>IF($I$17=1,SpeakerCorrection1!H91,0)+IF($I$17=2,SpeakerCorrection2!H91,0)+IF($I$17=3,SpeakerCorrection3!H91,0)+IF($I$17=4,SpeakerCorrection4!H91,0)</f>
        <v>0</v>
      </c>
      <c r="I242" s="62"/>
    </row>
    <row r="243" spans="1:9" ht="12" customHeight="1">
      <c r="A243" s="82"/>
      <c r="B243" s="4" t="s">
        <v>23</v>
      </c>
      <c r="C243" s="5" t="s">
        <v>19</v>
      </c>
      <c r="D243" s="2" t="s">
        <v>18</v>
      </c>
      <c r="E243" s="61">
        <f>IF($I$17=1,SpeakerCorrection1!E92,0)+IF($I$17=2,SpeakerCorrection2!E92,0)+IF($I$17=3,SpeakerCorrection3!E92,0)+IF($I$17=4,SpeakerCorrection4!E92,0)</f>
        <v>0</v>
      </c>
      <c r="F243" s="61">
        <f>IF($I$17=1,SpeakerCorrection1!F92,0)+IF($I$17=2,SpeakerCorrection2!F92,0)+IF($I$17=3,SpeakerCorrection3!F92,0)+IF($I$17=4,SpeakerCorrection4!F92,0)</f>
        <v>0</v>
      </c>
      <c r="G243" s="61">
        <f>IF($I$17=1,SpeakerCorrection1!G92,0)+IF($I$17=2,SpeakerCorrection2!G92,0)+IF($I$17=3,SpeakerCorrection3!G92,0)+IF($I$17=4,SpeakerCorrection4!G92,0)</f>
        <v>0</v>
      </c>
      <c r="H243" s="61">
        <f>IF($I$17=1,SpeakerCorrection1!H92,0)+IF($I$17=2,SpeakerCorrection2!H92,0)+IF($I$17=3,SpeakerCorrection3!H92,0)+IF($I$17=4,SpeakerCorrection4!H92,0)</f>
        <v>0</v>
      </c>
      <c r="I243" s="62"/>
    </row>
    <row r="244" spans="1:9" ht="12" customHeight="1">
      <c r="A244" s="82"/>
      <c r="B244" s="4" t="s">
        <v>24</v>
      </c>
      <c r="C244" s="5" t="s">
        <v>19</v>
      </c>
      <c r="D244" s="2" t="s">
        <v>18</v>
      </c>
      <c r="E244" s="61">
        <f>IF($I$17=1,SpeakerCorrection1!E93,0)+IF($I$17=2,SpeakerCorrection2!E93,0)+IF($I$17=3,SpeakerCorrection3!E93,0)+IF($I$17=4,SpeakerCorrection4!E93,0)</f>
        <v>0</v>
      </c>
      <c r="F244" s="61">
        <f>IF($I$17=1,SpeakerCorrection1!F93,0)+IF($I$17=2,SpeakerCorrection2!F93,0)+IF($I$17=3,SpeakerCorrection3!F93,0)+IF($I$17=4,SpeakerCorrection4!F93,0)</f>
        <v>0</v>
      </c>
      <c r="G244" s="61">
        <f>IF($I$17=1,SpeakerCorrection1!G93,0)+IF($I$17=2,SpeakerCorrection2!G93,0)+IF($I$17=3,SpeakerCorrection3!G93,0)+IF($I$17=4,SpeakerCorrection4!G93,0)</f>
        <v>0</v>
      </c>
      <c r="H244" s="61">
        <f>IF($I$17=1,SpeakerCorrection1!H93,0)+IF($I$17=2,SpeakerCorrection2!H93,0)+IF($I$17=3,SpeakerCorrection3!H93,0)+IF($I$17=4,SpeakerCorrection4!H93,0)</f>
        <v>0</v>
      </c>
      <c r="I244" s="62"/>
    </row>
    <row r="245" spans="1:9" ht="12" customHeight="1">
      <c r="A245" s="82"/>
      <c r="B245" s="4" t="s">
        <v>25</v>
      </c>
      <c r="C245" s="5" t="s">
        <v>19</v>
      </c>
      <c r="D245" s="2" t="s">
        <v>18</v>
      </c>
      <c r="E245" s="61">
        <f>IF($I$17=1,SpeakerCorrection1!E94,0)+IF($I$17=2,SpeakerCorrection2!E94,0)+IF($I$17=3,SpeakerCorrection3!E94,0)+IF($I$17=4,SpeakerCorrection4!E94,0)</f>
        <v>0</v>
      </c>
      <c r="F245" s="61">
        <f>IF($I$17=1,SpeakerCorrection1!F94,0)+IF($I$17=2,SpeakerCorrection2!F94,0)+IF($I$17=3,SpeakerCorrection3!F94,0)+IF($I$17=4,SpeakerCorrection4!F94,0)</f>
        <v>0</v>
      </c>
      <c r="G245" s="61">
        <f>IF($I$17=1,SpeakerCorrection1!G94,0)+IF($I$17=2,SpeakerCorrection2!G94,0)+IF($I$17=3,SpeakerCorrection3!G94,0)+IF($I$17=4,SpeakerCorrection4!G94,0)</f>
        <v>0</v>
      </c>
      <c r="H245" s="61">
        <f>IF($I$17=1,SpeakerCorrection1!H94,0)+IF($I$17=2,SpeakerCorrection2!H94,0)+IF($I$17=3,SpeakerCorrection3!H94,0)+IF($I$17=4,SpeakerCorrection4!H94,0)</f>
        <v>0</v>
      </c>
      <c r="I245" s="62"/>
    </row>
    <row r="246" spans="1:9" ht="12" customHeight="1">
      <c r="A246" s="82"/>
      <c r="B246" s="4" t="s">
        <v>26</v>
      </c>
      <c r="C246" s="5" t="s">
        <v>19</v>
      </c>
      <c r="D246" s="2" t="s">
        <v>18</v>
      </c>
      <c r="E246" s="61">
        <f>IF($I$17=1,SpeakerCorrection1!E95,0)+IF($I$17=2,SpeakerCorrection2!E95,0)+IF($I$17=3,SpeakerCorrection3!E95,0)+IF($I$17=4,SpeakerCorrection4!E95,0)</f>
        <v>0</v>
      </c>
      <c r="F246" s="61">
        <f>IF($I$17=1,SpeakerCorrection1!F95,0)+IF($I$17=2,SpeakerCorrection2!F95,0)+IF($I$17=3,SpeakerCorrection3!F95,0)+IF($I$17=4,SpeakerCorrection4!F95,0)</f>
        <v>0</v>
      </c>
      <c r="G246" s="61">
        <f>IF($I$17=1,SpeakerCorrection1!G95,0)+IF($I$17=2,SpeakerCorrection2!G95,0)+IF($I$17=3,SpeakerCorrection3!G95,0)+IF($I$17=4,SpeakerCorrection4!G95,0)</f>
        <v>0</v>
      </c>
      <c r="H246" s="61">
        <f>IF($I$17=1,SpeakerCorrection1!H95,0)+IF($I$17=2,SpeakerCorrection2!H95,0)+IF($I$17=3,SpeakerCorrection3!H95,0)+IF($I$17=4,SpeakerCorrection4!H95,0)</f>
        <v>0</v>
      </c>
      <c r="I246" s="62"/>
    </row>
    <row r="247" spans="1:9" ht="12" customHeight="1">
      <c r="A247" s="82"/>
      <c r="B247" s="4" t="s">
        <v>27</v>
      </c>
      <c r="C247" s="5" t="s">
        <v>19</v>
      </c>
      <c r="D247" s="2" t="s">
        <v>18</v>
      </c>
      <c r="E247" s="61">
        <f>IF($I$17=1,SpeakerCorrection1!E96,0)+IF($I$17=2,SpeakerCorrection2!E96,0)+IF($I$17=3,SpeakerCorrection3!E96,0)+IF($I$17=4,SpeakerCorrection4!E96,0)</f>
        <v>0</v>
      </c>
      <c r="F247" s="61">
        <f>IF($I$17=1,SpeakerCorrection1!F96,0)+IF($I$17=2,SpeakerCorrection2!F96,0)+IF($I$17=3,SpeakerCorrection3!F96,0)+IF($I$17=4,SpeakerCorrection4!F96,0)</f>
        <v>0</v>
      </c>
      <c r="G247" s="61">
        <f>IF($I$17=1,SpeakerCorrection1!G96,0)+IF($I$17=2,SpeakerCorrection2!G96,0)+IF($I$17=3,SpeakerCorrection3!G96,0)+IF($I$17=4,SpeakerCorrection4!G96,0)</f>
        <v>0</v>
      </c>
      <c r="H247" s="61">
        <f>IF($I$17=1,SpeakerCorrection1!H96,0)+IF($I$17=2,SpeakerCorrection2!H96,0)+IF($I$17=3,SpeakerCorrection3!H96,0)+IF($I$17=4,SpeakerCorrection4!H96,0)</f>
        <v>0</v>
      </c>
      <c r="I247" s="62"/>
    </row>
    <row r="248" spans="1:9" ht="12" customHeight="1">
      <c r="A248" s="82"/>
      <c r="B248" s="4" t="s">
        <v>28</v>
      </c>
      <c r="C248" s="5" t="s">
        <v>19</v>
      </c>
      <c r="D248" s="2" t="s">
        <v>18</v>
      </c>
      <c r="E248" s="61">
        <f>IF($I$17=1,SpeakerCorrection1!E97,0)+IF($I$17=2,SpeakerCorrection2!E97,0)+IF($I$17=3,SpeakerCorrection3!E97,0)+IF($I$17=4,SpeakerCorrection4!E97,0)</f>
        <v>0</v>
      </c>
      <c r="F248" s="61">
        <f>IF($I$17=1,SpeakerCorrection1!F97,0)+IF($I$17=2,SpeakerCorrection2!F97,0)+IF($I$17=3,SpeakerCorrection3!F97,0)+IF($I$17=4,SpeakerCorrection4!F97,0)</f>
        <v>0</v>
      </c>
      <c r="G248" s="61">
        <f>IF($I$17=1,SpeakerCorrection1!G97,0)+IF($I$17=2,SpeakerCorrection2!G97,0)+IF($I$17=3,SpeakerCorrection3!G97,0)+IF($I$17=4,SpeakerCorrection4!G97,0)</f>
        <v>0</v>
      </c>
      <c r="H248" s="61">
        <f>IF($I$17=1,SpeakerCorrection1!H97,0)+IF($I$17=2,SpeakerCorrection2!H97,0)+IF($I$17=3,SpeakerCorrection3!H97,0)+IF($I$17=4,SpeakerCorrection4!H97,0)</f>
        <v>0</v>
      </c>
      <c r="I248" s="62"/>
    </row>
    <row r="249" spans="1:9" ht="12" customHeight="1">
      <c r="A249" s="82"/>
      <c r="B249" s="4" t="s">
        <v>29</v>
      </c>
      <c r="C249" s="5" t="s">
        <v>19</v>
      </c>
      <c r="D249" s="2" t="s">
        <v>18</v>
      </c>
      <c r="E249" s="61">
        <f>IF($I$17=1,SpeakerCorrection1!E98,0)+IF($I$17=2,SpeakerCorrection2!E98,0)+IF($I$17=3,SpeakerCorrection3!E98,0)+IF($I$17=4,SpeakerCorrection4!E98,0)</f>
        <v>0</v>
      </c>
      <c r="F249" s="61">
        <f>IF($I$17=1,SpeakerCorrection1!F98,0)+IF($I$17=2,SpeakerCorrection2!F98,0)+IF($I$17=3,SpeakerCorrection3!F98,0)+IF($I$17=4,SpeakerCorrection4!F98,0)</f>
        <v>0</v>
      </c>
      <c r="G249" s="61">
        <f>IF($I$17=1,SpeakerCorrection1!G98,0)+IF($I$17=2,SpeakerCorrection2!G98,0)+IF($I$17=3,SpeakerCorrection3!G98,0)+IF($I$17=4,SpeakerCorrection4!G98,0)</f>
        <v>0</v>
      </c>
      <c r="H249" s="61">
        <f>IF($I$17=1,SpeakerCorrection1!H98,0)+IF($I$17=2,SpeakerCorrection2!H98,0)+IF($I$17=3,SpeakerCorrection3!H98,0)+IF($I$17=4,SpeakerCorrection4!H98,0)</f>
        <v>0</v>
      </c>
      <c r="I249" s="62"/>
    </row>
    <row r="250" spans="1:9" ht="12" customHeight="1">
      <c r="A250" s="83"/>
      <c r="B250" s="4" t="s">
        <v>30</v>
      </c>
      <c r="C250" s="5" t="s">
        <v>19</v>
      </c>
      <c r="D250" s="2" t="s">
        <v>18</v>
      </c>
      <c r="E250" s="61">
        <f>IF($I$17=1,SpeakerCorrection1!E99,0)+IF($I$17=2,SpeakerCorrection2!E99,0)+IF($I$17=3,SpeakerCorrection3!E99,0)+IF($I$17=4,SpeakerCorrection4!E99,0)</f>
        <v>0</v>
      </c>
      <c r="F250" s="61">
        <f>IF($I$17=1,SpeakerCorrection1!F99,0)+IF($I$17=2,SpeakerCorrection2!F99,0)+IF($I$17=3,SpeakerCorrection3!F99,0)+IF($I$17=4,SpeakerCorrection4!F99,0)</f>
        <v>0</v>
      </c>
      <c r="G250" s="61">
        <f>IF($I$17=1,SpeakerCorrection1!G99,0)+IF($I$17=2,SpeakerCorrection2!G99,0)+IF($I$17=3,SpeakerCorrection3!G99,0)+IF($I$17=4,SpeakerCorrection4!G99,0)</f>
        <v>0</v>
      </c>
      <c r="H250" s="61">
        <f>IF($I$17=1,SpeakerCorrection1!H99,0)+IF($I$17=2,SpeakerCorrection2!H99,0)+IF($I$17=3,SpeakerCorrection3!H99,0)+IF($I$17=4,SpeakerCorrection4!H99,0)</f>
        <v>0</v>
      </c>
      <c r="I250" s="62"/>
    </row>
  </sheetData>
  <sheetProtection password="BF23" sheet="1" objects="1" scenarios="1"/>
  <mergeCells count="21">
    <mergeCell ref="A185:A206"/>
    <mergeCell ref="A53:A74"/>
    <mergeCell ref="A75:A96"/>
    <mergeCell ref="B20:C20"/>
    <mergeCell ref="A97:A118"/>
    <mergeCell ref="A23:A30"/>
    <mergeCell ref="H16:I16"/>
    <mergeCell ref="A1:G1"/>
    <mergeCell ref="A119:A140"/>
    <mergeCell ref="A163:A184"/>
    <mergeCell ref="A18:A19"/>
    <mergeCell ref="A141:A162"/>
    <mergeCell ref="A31:A37"/>
    <mergeCell ref="A38:A45"/>
    <mergeCell ref="A46:A52"/>
    <mergeCell ref="J29:M29"/>
    <mergeCell ref="N29:N30"/>
    <mergeCell ref="N31:N52"/>
    <mergeCell ref="N53:N74"/>
    <mergeCell ref="A207:A228"/>
    <mergeCell ref="A229:A250"/>
  </mergeCells>
  <printOptions horizontalCentered="1"/>
  <pageMargins left="0.7874015748031497" right="0.3937007874015748" top="0.7874015748031497" bottom="0.3937007874015748" header="0.5118110236220472" footer="0.5118110236220472"/>
  <pageSetup horizontalDpi="600" verticalDpi="600" orientation="portrait" paperSize="9" r:id="rId4"/>
  <headerFooter alignWithMargins="0">
    <oddHeader>&amp;R&amp;P/&amp;N</oddHead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87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19.375" style="0" customWidth="1"/>
    <col min="2" max="2" width="14.125" style="0" customWidth="1"/>
    <col min="3" max="4" width="5.875" style="0" customWidth="1"/>
    <col min="5" max="16" width="11.125" style="0" customWidth="1"/>
  </cols>
  <sheetData>
    <row r="1" spans="1:9" ht="15" customHeight="1">
      <c r="A1" s="103" t="s">
        <v>206</v>
      </c>
      <c r="B1" s="104"/>
      <c r="C1" s="104"/>
      <c r="D1" s="104"/>
      <c r="E1" s="104"/>
      <c r="F1" s="105"/>
      <c r="G1" s="34" t="s">
        <v>150</v>
      </c>
      <c r="H1" s="35" t="s">
        <v>149</v>
      </c>
      <c r="I1" s="65" t="s">
        <v>135</v>
      </c>
    </row>
    <row r="2" spans="1:16" ht="15" customHeight="1">
      <c r="A2" s="24"/>
      <c r="B2" s="25"/>
      <c r="C2" s="25"/>
      <c r="D2" s="25"/>
      <c r="E2" s="25"/>
      <c r="F2" s="25"/>
      <c r="G2" s="25"/>
      <c r="H2" s="26"/>
      <c r="I2" s="66" t="s">
        <v>199</v>
      </c>
      <c r="J2" s="1"/>
      <c r="K2" s="1"/>
      <c r="L2" s="1"/>
      <c r="M2" s="1"/>
      <c r="N2" s="1"/>
      <c r="O2" s="1"/>
      <c r="P2" s="1"/>
    </row>
    <row r="3" spans="1:16" ht="15" customHeight="1">
      <c r="A3" s="27"/>
      <c r="B3" s="28"/>
      <c r="C3" s="28"/>
      <c r="D3" s="28"/>
      <c r="E3" s="28"/>
      <c r="F3" s="28"/>
      <c r="G3" s="28"/>
      <c r="H3" s="29"/>
      <c r="I3" s="1" t="s">
        <v>195</v>
      </c>
      <c r="J3" s="1"/>
      <c r="K3" s="1"/>
      <c r="L3" s="1"/>
      <c r="M3" s="1"/>
      <c r="N3" s="1"/>
      <c r="O3" s="1"/>
      <c r="P3" s="1"/>
    </row>
    <row r="4" spans="1:16" ht="15" customHeight="1">
      <c r="A4" s="27"/>
      <c r="B4" s="28"/>
      <c r="C4" s="28"/>
      <c r="D4" s="28"/>
      <c r="E4" s="28"/>
      <c r="F4" s="28"/>
      <c r="G4" s="28"/>
      <c r="H4" s="29"/>
      <c r="I4" s="1" t="s">
        <v>196</v>
      </c>
      <c r="J4" s="1"/>
      <c r="K4" s="1"/>
      <c r="L4" s="1"/>
      <c r="M4" s="1"/>
      <c r="N4" s="1"/>
      <c r="O4" s="1"/>
      <c r="P4" s="1"/>
    </row>
    <row r="5" spans="1:16" ht="15" customHeight="1">
      <c r="A5" s="27"/>
      <c r="B5" s="28"/>
      <c r="C5" s="28"/>
      <c r="D5" s="28"/>
      <c r="E5" s="28"/>
      <c r="F5" s="28"/>
      <c r="G5" s="28"/>
      <c r="H5" s="29"/>
      <c r="I5" s="1" t="s">
        <v>197</v>
      </c>
      <c r="J5" s="1"/>
      <c r="K5" s="1"/>
      <c r="L5" s="1"/>
      <c r="M5" s="1"/>
      <c r="N5" s="1"/>
      <c r="O5" s="1"/>
      <c r="P5" s="1"/>
    </row>
    <row r="6" spans="1:16" ht="15" customHeight="1">
      <c r="A6" s="27"/>
      <c r="B6" s="28"/>
      <c r="C6" s="28"/>
      <c r="D6" s="28"/>
      <c r="E6" s="28"/>
      <c r="F6" s="28"/>
      <c r="G6" s="28"/>
      <c r="H6" s="29"/>
      <c r="I6" s="1" t="s">
        <v>198</v>
      </c>
      <c r="J6" s="1"/>
      <c r="K6" s="1"/>
      <c r="L6" s="1"/>
      <c r="M6" s="1"/>
      <c r="N6" s="1"/>
      <c r="O6" s="1"/>
      <c r="P6" s="1"/>
    </row>
    <row r="7" spans="1:16" ht="15" customHeight="1">
      <c r="A7" s="27"/>
      <c r="B7" s="28"/>
      <c r="C7" s="28"/>
      <c r="D7" s="28"/>
      <c r="E7" s="28"/>
      <c r="F7" s="28"/>
      <c r="G7" s="28"/>
      <c r="H7" s="29"/>
      <c r="I7" s="131" t="s">
        <v>226</v>
      </c>
      <c r="J7" s="1"/>
      <c r="K7" s="1"/>
      <c r="L7" s="1"/>
      <c r="M7" s="1"/>
      <c r="N7" s="1"/>
      <c r="O7" s="1"/>
      <c r="P7" s="1"/>
    </row>
    <row r="8" spans="1:16" ht="15" customHeight="1">
      <c r="A8" s="27"/>
      <c r="B8" s="28"/>
      <c r="C8" s="28"/>
      <c r="D8" s="28"/>
      <c r="E8" s="28"/>
      <c r="F8" s="28"/>
      <c r="G8" s="28"/>
      <c r="H8" s="29"/>
      <c r="I8" s="130" t="s">
        <v>227</v>
      </c>
      <c r="J8" s="1"/>
      <c r="K8" s="1"/>
      <c r="L8" s="1"/>
      <c r="M8" s="1"/>
      <c r="N8" s="1"/>
      <c r="O8" s="1"/>
      <c r="P8" s="1"/>
    </row>
    <row r="9" spans="1:16" ht="15" customHeight="1">
      <c r="A9" s="27"/>
      <c r="B9" s="28"/>
      <c r="C9" s="28"/>
      <c r="D9" s="28"/>
      <c r="E9" s="28"/>
      <c r="F9" s="28"/>
      <c r="G9" s="28"/>
      <c r="H9" s="29"/>
      <c r="I9" s="130" t="s">
        <v>228</v>
      </c>
      <c r="J9" s="1"/>
      <c r="K9" s="1"/>
      <c r="L9" s="1"/>
      <c r="M9" s="1"/>
      <c r="N9" s="1"/>
      <c r="O9" s="1"/>
      <c r="P9" s="1"/>
    </row>
    <row r="10" spans="1:16" ht="15" customHeight="1">
      <c r="A10" s="27"/>
      <c r="B10" s="28"/>
      <c r="C10" s="28"/>
      <c r="D10" s="28"/>
      <c r="E10" s="28"/>
      <c r="F10" s="28"/>
      <c r="G10" s="28"/>
      <c r="H10" s="29"/>
      <c r="I10" s="130" t="s">
        <v>229</v>
      </c>
      <c r="J10" s="1"/>
      <c r="K10" s="1"/>
      <c r="L10" s="1"/>
      <c r="M10" s="1"/>
      <c r="N10" s="1"/>
      <c r="O10" s="1"/>
      <c r="P10" s="1"/>
    </row>
    <row r="11" spans="1:16" ht="15" customHeight="1">
      <c r="A11" s="27"/>
      <c r="B11" s="28"/>
      <c r="C11" s="28"/>
      <c r="D11" s="28"/>
      <c r="E11" s="28"/>
      <c r="F11" s="28"/>
      <c r="G11" s="28"/>
      <c r="H11" s="29"/>
      <c r="I11" s="130" t="s">
        <v>230</v>
      </c>
      <c r="J11" s="1"/>
      <c r="K11" s="1"/>
      <c r="L11" s="1"/>
      <c r="M11" s="1"/>
      <c r="N11" s="1"/>
      <c r="O11" s="1"/>
      <c r="P11" s="1"/>
    </row>
    <row r="12" spans="1:16" ht="15" customHeight="1">
      <c r="A12" s="27"/>
      <c r="B12" s="28"/>
      <c r="C12" s="28"/>
      <c r="D12" s="28"/>
      <c r="E12" s="28"/>
      <c r="F12" s="28"/>
      <c r="G12" s="28"/>
      <c r="H12" s="29"/>
      <c r="I12" s="130" t="s">
        <v>231</v>
      </c>
      <c r="J12" s="1"/>
      <c r="K12" s="1"/>
      <c r="L12" s="1"/>
      <c r="M12" s="1"/>
      <c r="N12" s="1"/>
      <c r="O12" s="1"/>
      <c r="P12" s="1"/>
    </row>
    <row r="13" spans="1:16" ht="15" customHeight="1">
      <c r="A13" s="27"/>
      <c r="B13" s="28"/>
      <c r="C13" s="28"/>
      <c r="D13" s="28"/>
      <c r="E13" s="28"/>
      <c r="F13" s="28"/>
      <c r="G13" s="28"/>
      <c r="H13" s="29"/>
      <c r="I13" s="129" t="s">
        <v>232</v>
      </c>
      <c r="J13" s="1"/>
      <c r="K13" s="1"/>
      <c r="L13" s="1"/>
      <c r="M13" s="1"/>
      <c r="N13" s="1"/>
      <c r="O13" s="1"/>
      <c r="P13" s="1"/>
    </row>
    <row r="14" spans="1:16" ht="15" customHeight="1">
      <c r="A14" s="27"/>
      <c r="B14" s="28"/>
      <c r="C14" s="28"/>
      <c r="D14" s="28"/>
      <c r="E14" s="28"/>
      <c r="F14" s="28"/>
      <c r="G14" s="28"/>
      <c r="H14" s="29"/>
      <c r="I14" s="130" t="s">
        <v>233</v>
      </c>
      <c r="J14" s="1"/>
      <c r="K14" s="1"/>
      <c r="L14" s="1"/>
      <c r="M14" s="1"/>
      <c r="N14" s="1"/>
      <c r="O14" s="1"/>
      <c r="P14" s="1"/>
    </row>
    <row r="15" spans="1:16" ht="15" customHeight="1">
      <c r="A15" s="27"/>
      <c r="B15" s="28"/>
      <c r="C15" s="28"/>
      <c r="D15" s="28"/>
      <c r="E15" s="28"/>
      <c r="F15" s="28"/>
      <c r="G15" s="28"/>
      <c r="H15" s="29"/>
      <c r="I15" s="1"/>
      <c r="J15" s="1"/>
      <c r="K15" s="1"/>
      <c r="L15" s="1"/>
      <c r="M15" s="1"/>
      <c r="N15" s="1"/>
      <c r="O15" s="1"/>
      <c r="P15" s="1"/>
    </row>
    <row r="16" spans="1:16" ht="12" customHeight="1">
      <c r="A16" s="33" t="s">
        <v>95</v>
      </c>
      <c r="B16" s="91" t="s">
        <v>103</v>
      </c>
      <c r="C16" s="92"/>
      <c r="D16" s="33" t="s">
        <v>111</v>
      </c>
      <c r="E16" s="2" t="s">
        <v>148</v>
      </c>
      <c r="F16" s="2" t="s">
        <v>151</v>
      </c>
      <c r="G16" s="2" t="s">
        <v>155</v>
      </c>
      <c r="H16" s="37" t="s">
        <v>179</v>
      </c>
      <c r="I16" s="1"/>
      <c r="J16" s="1"/>
      <c r="K16" s="1"/>
      <c r="L16" s="1"/>
      <c r="M16" s="1"/>
      <c r="N16" s="1"/>
      <c r="O16" s="1"/>
      <c r="P16" s="1"/>
    </row>
    <row r="17" spans="1:16" ht="12" customHeight="1">
      <c r="A17" s="13" t="s">
        <v>181</v>
      </c>
      <c r="B17" s="16" t="s">
        <v>182</v>
      </c>
      <c r="C17" s="17" t="s">
        <v>189</v>
      </c>
      <c r="D17" s="2" t="s">
        <v>13</v>
      </c>
      <c r="E17" s="19">
        <v>6</v>
      </c>
      <c r="F17" s="19">
        <v>6</v>
      </c>
      <c r="G17" s="19">
        <v>6</v>
      </c>
      <c r="H17" s="19">
        <v>6</v>
      </c>
      <c r="I17" s="1"/>
      <c r="J17" s="1"/>
      <c r="K17" s="1"/>
      <c r="L17" s="1"/>
      <c r="M17" s="1"/>
      <c r="N17" s="1"/>
      <c r="O17" s="1"/>
      <c r="P17" s="1"/>
    </row>
    <row r="18" spans="1:16" ht="12" customHeight="1">
      <c r="A18" s="12" t="s">
        <v>183</v>
      </c>
      <c r="B18" s="16" t="s">
        <v>182</v>
      </c>
      <c r="C18" s="13" t="s">
        <v>190</v>
      </c>
      <c r="D18" s="2" t="s">
        <v>14</v>
      </c>
      <c r="E18" s="47">
        <v>91</v>
      </c>
      <c r="F18" s="47">
        <v>91</v>
      </c>
      <c r="G18" s="47">
        <v>91</v>
      </c>
      <c r="H18" s="47">
        <v>91</v>
      </c>
      <c r="I18" s="1"/>
      <c r="J18" s="1"/>
      <c r="K18" s="1"/>
      <c r="L18" s="1"/>
      <c r="M18" s="1"/>
      <c r="N18" s="1"/>
      <c r="O18" s="1"/>
      <c r="P18" s="1"/>
    </row>
    <row r="19" spans="1:16" ht="12" customHeight="1">
      <c r="A19" s="12" t="s">
        <v>188</v>
      </c>
      <c r="B19" s="106" t="s">
        <v>187</v>
      </c>
      <c r="C19" s="107"/>
      <c r="D19" s="101"/>
      <c r="E19" s="9"/>
      <c r="F19" s="9"/>
      <c r="G19" s="9">
        <v>1</v>
      </c>
      <c r="H19" s="9"/>
      <c r="I19" s="1"/>
      <c r="J19" s="1"/>
      <c r="K19" s="1"/>
      <c r="L19" s="1"/>
      <c r="M19" s="1"/>
      <c r="N19" s="1"/>
      <c r="O19" s="1"/>
      <c r="P19" s="1"/>
    </row>
    <row r="20" spans="1:16" ht="12" customHeight="1">
      <c r="A20" s="13" t="s">
        <v>184</v>
      </c>
      <c r="B20" s="64" t="s">
        <v>186</v>
      </c>
      <c r="C20" s="13" t="s">
        <v>78</v>
      </c>
      <c r="D20" s="2" t="s">
        <v>20</v>
      </c>
      <c r="E20" s="63">
        <f>IF(OR(AND(F20&lt;&gt;0,F21&lt;&gt;0,F20&gt;=F21),AND(G20&lt;&gt;0,G21&lt;&gt;0,G20&gt;=G21)),"周波数不適","")</f>
      </c>
      <c r="F20" s="9"/>
      <c r="G20" s="9">
        <v>2000</v>
      </c>
      <c r="H20" s="9"/>
      <c r="I20" s="1"/>
      <c r="J20" s="1"/>
      <c r="K20" s="1"/>
      <c r="L20" s="1"/>
      <c r="M20" s="1"/>
      <c r="N20" s="1"/>
      <c r="O20" s="1"/>
      <c r="P20" s="1"/>
    </row>
    <row r="21" spans="1:16" ht="12" customHeight="1">
      <c r="A21" s="13" t="s">
        <v>185</v>
      </c>
      <c r="B21" s="64" t="s">
        <v>186</v>
      </c>
      <c r="C21" s="13" t="s">
        <v>79</v>
      </c>
      <c r="D21" s="2" t="s">
        <v>63</v>
      </c>
      <c r="E21" s="9">
        <v>2000</v>
      </c>
      <c r="F21" s="9"/>
      <c r="G21" s="9"/>
      <c r="H21" s="20"/>
      <c r="I21" s="1"/>
      <c r="J21" s="1"/>
      <c r="K21" s="1"/>
      <c r="L21" s="1"/>
      <c r="M21" s="1"/>
      <c r="N21" s="1"/>
      <c r="O21" s="1"/>
      <c r="P21" s="1"/>
    </row>
    <row r="22" spans="1:16" ht="12" customHeight="1">
      <c r="A22" s="93" t="s">
        <v>191</v>
      </c>
      <c r="B22" s="12" t="s">
        <v>101</v>
      </c>
      <c r="C22" s="13" t="s">
        <v>88</v>
      </c>
      <c r="D22" s="2" t="s">
        <v>131</v>
      </c>
      <c r="E22" s="20"/>
      <c r="F22" s="3">
        <f>IF(F$20="","",F$17*10^3/(2*PI()*F20))</f>
      </c>
      <c r="G22" s="3">
        <f>IF(G$20="","",G$17*10^3/(2*PI()*G20))</f>
        <v>0.47746482927568606</v>
      </c>
      <c r="H22" s="3">
        <f>IF(H$20="","",H$17*10^3/(2*PI()*H20))</f>
      </c>
      <c r="I22" s="1"/>
      <c r="J22" s="1"/>
      <c r="K22" s="1"/>
      <c r="L22" s="1"/>
      <c r="M22" s="1"/>
      <c r="N22" s="1"/>
      <c r="O22" s="1"/>
      <c r="P22" s="1"/>
    </row>
    <row r="23" spans="1:16" ht="12" customHeight="1">
      <c r="A23" s="94"/>
      <c r="B23" s="12" t="s">
        <v>102</v>
      </c>
      <c r="C23" s="13" t="s">
        <v>89</v>
      </c>
      <c r="D23" s="67" t="s">
        <v>132</v>
      </c>
      <c r="E23" s="14"/>
      <c r="F23" s="3">
        <f>IF(F$20="","",10^6/(2*PI()*F20*F$17))</f>
      </c>
      <c r="G23" s="3">
        <f>IF(G$20="","",10^6/(2*PI()*G20*G$17))</f>
        <v>13.262911924324612</v>
      </c>
      <c r="H23" s="3">
        <f>IF(H$20="","",10^6/(2*PI()*H20*H$17))</f>
      </c>
      <c r="I23" s="1"/>
      <c r="J23" s="1"/>
      <c r="K23" s="1"/>
      <c r="L23" s="1"/>
      <c r="M23" s="1"/>
      <c r="N23" s="1"/>
      <c r="O23" s="1"/>
      <c r="P23" s="1"/>
    </row>
    <row r="24" spans="1:16" ht="12" customHeight="1">
      <c r="A24" s="93" t="s">
        <v>192</v>
      </c>
      <c r="B24" s="12" t="s">
        <v>101</v>
      </c>
      <c r="C24" s="13" t="s">
        <v>90</v>
      </c>
      <c r="D24" s="2" t="s">
        <v>131</v>
      </c>
      <c r="E24" s="3">
        <f>IF(E$21="","",E$17*10^3/(2*PI()*E21))</f>
        <v>0.47746482927568606</v>
      </c>
      <c r="F24" s="3">
        <f>IF(F$21="","",F$17*10^3/(2*PI()*F21))</f>
      </c>
      <c r="G24" s="3">
        <f>IF(G$21="","",G$17*10^3/(2*PI()*G21))</f>
      </c>
      <c r="H24" s="14"/>
      <c r="I24" s="1"/>
      <c r="J24" s="1"/>
      <c r="K24" s="1"/>
      <c r="L24" s="1"/>
      <c r="M24" s="1"/>
      <c r="N24" s="1"/>
      <c r="O24" s="1"/>
      <c r="P24" s="1"/>
    </row>
    <row r="25" spans="1:16" ht="12" customHeight="1">
      <c r="A25" s="94"/>
      <c r="B25" s="12" t="s">
        <v>102</v>
      </c>
      <c r="C25" s="13" t="s">
        <v>91</v>
      </c>
      <c r="D25" s="67" t="s">
        <v>132</v>
      </c>
      <c r="E25" s="3">
        <f>IF(E$21="","",10^6/(2*PI()*E21*E$17))</f>
        <v>13.262911924324612</v>
      </c>
      <c r="F25" s="3">
        <f>IF(F$21="","",10^6/(2*PI()*F21*F$17))</f>
      </c>
      <c r="G25" s="3">
        <f>IF(G$21="","",10^6/(2*PI()*G21*G$17))</f>
      </c>
      <c r="H25" s="14"/>
      <c r="I25" s="1"/>
      <c r="J25" s="1"/>
      <c r="K25" s="1"/>
      <c r="L25" s="1"/>
      <c r="M25" s="1"/>
      <c r="N25" s="1"/>
      <c r="O25" s="1"/>
      <c r="P25" s="1"/>
    </row>
    <row r="26" spans="1:16" ht="12" customHeight="1">
      <c r="A26" s="95" t="s">
        <v>98</v>
      </c>
      <c r="B26" s="12" t="s">
        <v>107</v>
      </c>
      <c r="C26" s="13" t="s">
        <v>193</v>
      </c>
      <c r="D26" s="2" t="s">
        <v>127</v>
      </c>
      <c r="E26" s="19">
        <v>6</v>
      </c>
      <c r="F26" s="19">
        <v>6</v>
      </c>
      <c r="G26" s="19">
        <v>6</v>
      </c>
      <c r="H26" s="19">
        <v>6</v>
      </c>
      <c r="I26" s="1"/>
      <c r="J26" s="1"/>
      <c r="K26" s="1"/>
      <c r="L26" s="1"/>
      <c r="M26" s="1"/>
      <c r="N26" s="1"/>
      <c r="O26" s="1"/>
      <c r="P26" s="1"/>
    </row>
    <row r="27" spans="1:16" ht="12" customHeight="1">
      <c r="A27" s="96"/>
      <c r="B27" s="12" t="s">
        <v>104</v>
      </c>
      <c r="C27" s="13" t="s">
        <v>194</v>
      </c>
      <c r="D27" s="2" t="s">
        <v>11</v>
      </c>
      <c r="E27" s="47">
        <v>91</v>
      </c>
      <c r="F27" s="47">
        <v>91</v>
      </c>
      <c r="G27" s="47">
        <v>105</v>
      </c>
      <c r="H27" s="47">
        <v>91</v>
      </c>
      <c r="I27" s="1"/>
      <c r="J27" s="1"/>
      <c r="K27" s="1"/>
      <c r="L27" s="1"/>
      <c r="M27" s="1"/>
      <c r="N27" s="1"/>
      <c r="O27" s="1"/>
      <c r="P27" s="1"/>
    </row>
    <row r="28" spans="1:16" ht="12" customHeight="1">
      <c r="A28" s="96"/>
      <c r="B28" s="106" t="s">
        <v>200</v>
      </c>
      <c r="C28" s="107"/>
      <c r="D28" s="101"/>
      <c r="E28" s="9"/>
      <c r="F28" s="9"/>
      <c r="G28" s="9">
        <v>1</v>
      </c>
      <c r="H28" s="9"/>
      <c r="I28" s="1"/>
      <c r="J28" s="1"/>
      <c r="K28" s="1"/>
      <c r="L28" s="1"/>
      <c r="M28" s="1"/>
      <c r="N28" s="1"/>
      <c r="O28" s="1"/>
      <c r="P28" s="1"/>
    </row>
    <row r="29" spans="1:16" ht="12" customHeight="1">
      <c r="A29" s="96"/>
      <c r="B29" s="12" t="s">
        <v>106</v>
      </c>
      <c r="C29" s="13" t="s">
        <v>153</v>
      </c>
      <c r="D29" s="2" t="s">
        <v>134</v>
      </c>
      <c r="E29" s="14">
        <f>IF(E$17*E$18*E$26*E$27=0,"",IF(E$28=0,"",IF(E$18&gt;E$27+10*LOG(E$17/E$26),"Unable",IF(E$26/(10^((E$18-E$27-10*LOG(E$17/E$26))/20))-E$17=0,"Blank",IF(E$28=2,IF(E$17&gt;=E$26,"Blank",E$17*E$26/ABS(E$26-E$17)),E$17*E$26/ABS(E$26/(10^((E$18-E$27-10*LOG(E$17/E$26))/20))-E$17))))))</f>
      </c>
      <c r="F29" s="14">
        <f>IF(F$17*F$18*F$26*F$27=0,"",IF(F$28=0,"",IF(F$18&gt;F$27+10*LOG(F$17/F$26),"Unable",IF(F$26/(10^((F$18-F$27-10*LOG(F$17/F$26))/20))-F$17=0,"Blank",IF(F$28=2,IF(F$17&gt;=F$26,"Blank",F$17*F$26/ABS(F$26-F$17)),F$17*F$26/ABS(F$26/(10^((F$18-F$27-10*LOG(F$17/F$26))/20))-F$17))))))</f>
      </c>
      <c r="G29" s="14">
        <f>IF(G$17*G$18*G$26*G$27=0,"",IF(G$28=0,"",IF(G$18&gt;G$27+10*LOG(G$17/G$26),"Unable",IF(G$26/(10^((G$18-G$27-10*LOG(G$17/G$26))/20))-G$17=0,"Blank",IF(G$28=2,IF(G$17&gt;=G$26,"Blank",G$17*G$26/ABS(G$26-G$17)),G$17*G$26/ABS(G$26/(10^((G$18-G$27-10*LOG(G$17/G$26))/20))-G$17))))))</f>
        <v>1.4955610490772422</v>
      </c>
      <c r="H29" s="14">
        <f>IF(H$17*H$18*H$26*H$27=0,"",IF(H$28=0,"",IF(H$18&gt;H$27+10*LOG(H$17/H$26),"Unable",IF(H$26/(10^((H$18-H$27-10*LOG(H$17/H$26))/20))-H$17=0,"Blank",IF(H$28=2,IF(H$17&gt;=H$26,"Blank",H$17*H$26/ABS(H$26-H$17)),H$17*H$26/ABS(H$26/(10^((H$18-H$27-10*LOG(H$17/H$26))/20))-H$17))))))</f>
      </c>
      <c r="I29" s="1"/>
      <c r="J29" s="1"/>
      <c r="K29" s="1"/>
      <c r="L29" s="1"/>
      <c r="M29" s="1"/>
      <c r="N29" s="1"/>
      <c r="O29" s="1"/>
      <c r="P29" s="1"/>
    </row>
    <row r="30" spans="1:16" ht="12" customHeight="1">
      <c r="A30" s="96"/>
      <c r="B30" s="12" t="s">
        <v>108</v>
      </c>
      <c r="C30" s="13" t="s">
        <v>154</v>
      </c>
      <c r="D30" s="2" t="s">
        <v>134</v>
      </c>
      <c r="E30" s="14">
        <f>IF(E$17*E$18*E$26*E$27=0,"",IF(E$28=0,"",IF(E$27+E$33&lt;E$18,"Unable",IF(E$29="Unable","Unable",IF(E$29="Blank",E$17-E$26,E$17-E$29*E$26/(E$29+E$26))))))</f>
      </c>
      <c r="F30" s="14">
        <f>IF(F$17*F$18*F$26*F$27=0,"",IF(F$28=0,"",IF(F$27+F$33&lt;F$18,"Unable",IF(F$29="Unable","Unable",IF(F$29="Blank",F$17-F$26,F$17-F$29*F$26/(F$29+F$26))))))</f>
      </c>
      <c r="G30" s="14">
        <f>IF(G$17*G$18*G$26*G$27=0,"",IF(G$28=0,"",IF(G$27+G$33&lt;G$18,"Unable",IF(G$29="Unable","Unable",IF(G$29="Blank",G$17-G$26,G$17-G$29*G$26/(G$29+G$26))))))</f>
        <v>4.802842611018672</v>
      </c>
      <c r="H30" s="14">
        <f>IF(H$17*H$18*H$26*H$27=0,"",IF(H$28=0,"",IF(H$27+H$33&lt;H$18,"Unable",IF(H$29="Unable","Unable",IF(H$29="Blank",H$17-H$26,H$17-H$29*H$26/(H$29+H$26))))))</f>
      </c>
      <c r="I30" s="1"/>
      <c r="J30" s="1"/>
      <c r="K30" s="1"/>
      <c r="L30" s="1"/>
      <c r="M30" s="1"/>
      <c r="N30" s="1"/>
      <c r="O30" s="1"/>
      <c r="P30" s="1"/>
    </row>
    <row r="31" spans="1:16" ht="12" customHeight="1">
      <c r="A31" s="96"/>
      <c r="B31" s="12" t="s">
        <v>109</v>
      </c>
      <c r="C31" s="22" t="s">
        <v>76</v>
      </c>
      <c r="D31" s="2" t="s">
        <v>134</v>
      </c>
      <c r="E31" s="23">
        <f>IF(E$17*E$18*E$26*E$27=0,"",IF(OR(E$28=1,E$28=2),E$17,E$26))</f>
        <v>6</v>
      </c>
      <c r="F31" s="23">
        <f>IF(F$17*F$18*F$26*F$27=0,"",IF(OR(F$28=1,F$28=2),F$17,F$26))</f>
        <v>6</v>
      </c>
      <c r="G31" s="23">
        <f>IF(G$17*G$18*G$26*G$27=0,"",IF(OR(G$28=1,G$28=2),G$17,G$26))</f>
        <v>6</v>
      </c>
      <c r="H31" s="23">
        <f>IF(H$17*H$18*H$26*H$27=0,"",IF(OR(H$28=1,H$28=2),H$17,H$26))</f>
        <v>6</v>
      </c>
      <c r="I31" s="1"/>
      <c r="J31" s="1"/>
      <c r="K31" s="1"/>
      <c r="L31" s="1"/>
      <c r="M31" s="1"/>
      <c r="N31" s="1"/>
      <c r="O31" s="1"/>
      <c r="P31" s="1"/>
    </row>
    <row r="32" spans="1:16" ht="12" customHeight="1">
      <c r="A32" s="96"/>
      <c r="B32" s="12" t="s">
        <v>110</v>
      </c>
      <c r="C32" s="13" t="s">
        <v>77</v>
      </c>
      <c r="D32" s="2" t="s">
        <v>112</v>
      </c>
      <c r="E32" s="14">
        <f>IF(E$17*E$18*E$26*E$27=0,"",10^(E$33/20))</f>
        <v>1</v>
      </c>
      <c r="F32" s="14">
        <f>IF(F$17*F$18*F$26*F$27=0,"",10^(F$33/20))</f>
        <v>1</v>
      </c>
      <c r="G32" s="14">
        <f>IF(G$17*G$18*G$26*G$27=0,"",10^(G$33/20))</f>
        <v>1</v>
      </c>
      <c r="H32" s="14">
        <f>IF(H$17*H$18*H$26*H$27=0,"",10^(H$33/20))</f>
        <v>1</v>
      </c>
      <c r="I32" s="1"/>
      <c r="J32" s="1"/>
      <c r="K32" s="1"/>
      <c r="L32" s="1"/>
      <c r="M32" s="1"/>
      <c r="N32" s="1"/>
      <c r="O32" s="1"/>
      <c r="P32" s="1"/>
    </row>
    <row r="33" spans="1:16" ht="12" customHeight="1">
      <c r="A33" s="97"/>
      <c r="B33" s="12" t="s">
        <v>110</v>
      </c>
      <c r="C33" s="13" t="s">
        <v>77</v>
      </c>
      <c r="D33" s="2" t="s">
        <v>125</v>
      </c>
      <c r="E33" s="14">
        <f>IF(E$17*E$18*E$26*E$27=0,"",IF(E$28=1,0,E$27-E$18+10*LOG(E$17/E$26)+IF(E$28=2,IF(E$29="Blank",20*LOG(E$26/E$31),20*LOG(E$26*E$29/((E$26+E$29)*E$31))),0)))</f>
        <v>0</v>
      </c>
      <c r="F33" s="14">
        <f>IF(F$17*F$18*F$26*F$27=0,"",IF(F$28=1,0,F$27-F$18+10*LOG(F$17/F$26)+IF(F$28=2,IF(F$29="Blank",20*LOG(F$26/F$31),20*LOG(F$26*F$29/((F$26+F$29)*F$31))),0)))</f>
        <v>0</v>
      </c>
      <c r="G33" s="14">
        <f>IF(G$17*G$18*G$26*G$27=0,"",IF(G$28=1,0,G$27-G$18+10*LOG(G$17/G$26)+IF(G$28=2,IF(G$29="Blank",20*LOG(G$26/G$31),20*LOG(G$26*G$29/((G$26+G$29)*G$31))),0)))</f>
        <v>0</v>
      </c>
      <c r="H33" s="14">
        <f>IF(H$17*H$18*H$26*H$27=0,"",IF(H$28=1,0,H$27-H$18+10*LOG(H$17/H$26)+IF(H$28=2,IF(H$29="Blank",20*LOG(H$26/H$31),20*LOG(H$26*H$29/((H$26+H$29)*H$31))),0)))</f>
        <v>0</v>
      </c>
      <c r="I33" s="1"/>
      <c r="J33" s="1"/>
      <c r="K33" s="1"/>
      <c r="L33" s="1"/>
      <c r="M33" s="1"/>
      <c r="N33" s="1"/>
      <c r="O33" s="1"/>
      <c r="P33" s="1"/>
    </row>
    <row r="34" spans="1:8" ht="12" customHeight="1">
      <c r="A34" s="90" t="s">
        <v>96</v>
      </c>
      <c r="B34" s="4">
        <v>20</v>
      </c>
      <c r="C34" s="5" t="s">
        <v>130</v>
      </c>
      <c r="D34" s="2" t="s">
        <v>201</v>
      </c>
      <c r="E34" s="6">
        <f aca="true" t="shared" si="0" ref="E34:H55">E$17</f>
        <v>6</v>
      </c>
      <c r="F34" s="6">
        <f t="shared" si="0"/>
        <v>6</v>
      </c>
      <c r="G34" s="6">
        <f t="shared" si="0"/>
        <v>6</v>
      </c>
      <c r="H34" s="6">
        <f t="shared" si="0"/>
        <v>6</v>
      </c>
    </row>
    <row r="35" spans="1:8" ht="12" customHeight="1">
      <c r="A35" s="90"/>
      <c r="B35" s="4">
        <v>30</v>
      </c>
      <c r="C35" s="5" t="s">
        <v>130</v>
      </c>
      <c r="D35" s="2" t="s">
        <v>201</v>
      </c>
      <c r="E35" s="6">
        <f t="shared" si="0"/>
        <v>6</v>
      </c>
      <c r="F35" s="6">
        <f t="shared" si="0"/>
        <v>6</v>
      </c>
      <c r="G35" s="6">
        <f t="shared" si="0"/>
        <v>6</v>
      </c>
      <c r="H35" s="6">
        <f t="shared" si="0"/>
        <v>6</v>
      </c>
    </row>
    <row r="36" spans="1:8" ht="12" customHeight="1">
      <c r="A36" s="90"/>
      <c r="B36" s="4">
        <v>40</v>
      </c>
      <c r="C36" s="5" t="s">
        <v>130</v>
      </c>
      <c r="D36" s="2" t="s">
        <v>201</v>
      </c>
      <c r="E36" s="6">
        <f t="shared" si="0"/>
        <v>6</v>
      </c>
      <c r="F36" s="6">
        <f t="shared" si="0"/>
        <v>6</v>
      </c>
      <c r="G36" s="6">
        <f t="shared" si="0"/>
        <v>6</v>
      </c>
      <c r="H36" s="6">
        <f t="shared" si="0"/>
        <v>6</v>
      </c>
    </row>
    <row r="37" spans="1:8" ht="12" customHeight="1">
      <c r="A37" s="102"/>
      <c r="B37" s="4">
        <v>50</v>
      </c>
      <c r="C37" s="5" t="s">
        <v>130</v>
      </c>
      <c r="D37" s="2" t="s">
        <v>201</v>
      </c>
      <c r="E37" s="6">
        <f t="shared" si="0"/>
        <v>6</v>
      </c>
      <c r="F37" s="6">
        <f t="shared" si="0"/>
        <v>6</v>
      </c>
      <c r="G37" s="6">
        <f t="shared" si="0"/>
        <v>6</v>
      </c>
      <c r="H37" s="6">
        <f t="shared" si="0"/>
        <v>6</v>
      </c>
    </row>
    <row r="38" spans="1:8" ht="12" customHeight="1">
      <c r="A38" s="102"/>
      <c r="B38" s="4">
        <v>70</v>
      </c>
      <c r="C38" s="5" t="s">
        <v>130</v>
      </c>
      <c r="D38" s="2" t="s">
        <v>201</v>
      </c>
      <c r="E38" s="6">
        <f t="shared" si="0"/>
        <v>6</v>
      </c>
      <c r="F38" s="6">
        <f t="shared" si="0"/>
        <v>6</v>
      </c>
      <c r="G38" s="6">
        <f t="shared" si="0"/>
        <v>6</v>
      </c>
      <c r="H38" s="6">
        <f t="shared" si="0"/>
        <v>6</v>
      </c>
    </row>
    <row r="39" spans="1:8" ht="12" customHeight="1">
      <c r="A39" s="102"/>
      <c r="B39" s="4">
        <v>100</v>
      </c>
      <c r="C39" s="5" t="s">
        <v>130</v>
      </c>
      <c r="D39" s="2" t="s">
        <v>201</v>
      </c>
      <c r="E39" s="6">
        <f t="shared" si="0"/>
        <v>6</v>
      </c>
      <c r="F39" s="6">
        <f t="shared" si="0"/>
        <v>6</v>
      </c>
      <c r="G39" s="6">
        <f t="shared" si="0"/>
        <v>6</v>
      </c>
      <c r="H39" s="6">
        <f t="shared" si="0"/>
        <v>6</v>
      </c>
    </row>
    <row r="40" spans="1:8" ht="12" customHeight="1">
      <c r="A40" s="102"/>
      <c r="B40" s="4">
        <v>150</v>
      </c>
      <c r="C40" s="5" t="s">
        <v>130</v>
      </c>
      <c r="D40" s="2" t="s">
        <v>201</v>
      </c>
      <c r="E40" s="6">
        <f t="shared" si="0"/>
        <v>6</v>
      </c>
      <c r="F40" s="6">
        <f t="shared" si="0"/>
        <v>6</v>
      </c>
      <c r="G40" s="6">
        <f t="shared" si="0"/>
        <v>6</v>
      </c>
      <c r="H40" s="6">
        <f t="shared" si="0"/>
        <v>6</v>
      </c>
    </row>
    <row r="41" spans="1:8" ht="12" customHeight="1">
      <c r="A41" s="102"/>
      <c r="B41" s="4">
        <v>200</v>
      </c>
      <c r="C41" s="5" t="s">
        <v>130</v>
      </c>
      <c r="D41" s="2" t="s">
        <v>201</v>
      </c>
      <c r="E41" s="6">
        <f t="shared" si="0"/>
        <v>6</v>
      </c>
      <c r="F41" s="6">
        <f t="shared" si="0"/>
        <v>6</v>
      </c>
      <c r="G41" s="6">
        <f t="shared" si="0"/>
        <v>6</v>
      </c>
      <c r="H41" s="6">
        <f t="shared" si="0"/>
        <v>6</v>
      </c>
    </row>
    <row r="42" spans="1:8" ht="12" customHeight="1">
      <c r="A42" s="102"/>
      <c r="B42" s="4">
        <v>300</v>
      </c>
      <c r="C42" s="5" t="s">
        <v>130</v>
      </c>
      <c r="D42" s="2" t="s">
        <v>201</v>
      </c>
      <c r="E42" s="6">
        <f t="shared" si="0"/>
        <v>6</v>
      </c>
      <c r="F42" s="6">
        <f t="shared" si="0"/>
        <v>6</v>
      </c>
      <c r="G42" s="6">
        <f t="shared" si="0"/>
        <v>6</v>
      </c>
      <c r="H42" s="6">
        <f t="shared" si="0"/>
        <v>6</v>
      </c>
    </row>
    <row r="43" spans="1:8" ht="12" customHeight="1">
      <c r="A43" s="102"/>
      <c r="B43" s="4">
        <v>400</v>
      </c>
      <c r="C43" s="5" t="s">
        <v>130</v>
      </c>
      <c r="D43" s="2" t="s">
        <v>201</v>
      </c>
      <c r="E43" s="6">
        <f t="shared" si="0"/>
        <v>6</v>
      </c>
      <c r="F43" s="6">
        <f t="shared" si="0"/>
        <v>6</v>
      </c>
      <c r="G43" s="6">
        <f t="shared" si="0"/>
        <v>6</v>
      </c>
      <c r="H43" s="6">
        <f t="shared" si="0"/>
        <v>6</v>
      </c>
    </row>
    <row r="44" spans="1:8" ht="12" customHeight="1">
      <c r="A44" s="102"/>
      <c r="B44" s="4">
        <v>500</v>
      </c>
      <c r="C44" s="5" t="s">
        <v>130</v>
      </c>
      <c r="D44" s="2" t="s">
        <v>201</v>
      </c>
      <c r="E44" s="6">
        <f t="shared" si="0"/>
        <v>6</v>
      </c>
      <c r="F44" s="6">
        <f t="shared" si="0"/>
        <v>6</v>
      </c>
      <c r="G44" s="6">
        <f t="shared" si="0"/>
        <v>6</v>
      </c>
      <c r="H44" s="6">
        <f t="shared" si="0"/>
        <v>6</v>
      </c>
    </row>
    <row r="45" spans="1:8" ht="12" customHeight="1">
      <c r="A45" s="102"/>
      <c r="B45" s="4">
        <v>700</v>
      </c>
      <c r="C45" s="5" t="s">
        <v>130</v>
      </c>
      <c r="D45" s="2" t="s">
        <v>201</v>
      </c>
      <c r="E45" s="6">
        <f t="shared" si="0"/>
        <v>6</v>
      </c>
      <c r="F45" s="6">
        <f t="shared" si="0"/>
        <v>6</v>
      </c>
      <c r="G45" s="6">
        <f t="shared" si="0"/>
        <v>6</v>
      </c>
      <c r="H45" s="6">
        <f t="shared" si="0"/>
        <v>6</v>
      </c>
    </row>
    <row r="46" spans="1:8" ht="12" customHeight="1">
      <c r="A46" s="102"/>
      <c r="B46" s="4" t="s">
        <v>64</v>
      </c>
      <c r="C46" s="5" t="s">
        <v>130</v>
      </c>
      <c r="D46" s="2" t="s">
        <v>201</v>
      </c>
      <c r="E46" s="6">
        <f t="shared" si="0"/>
        <v>6</v>
      </c>
      <c r="F46" s="6">
        <f t="shared" si="0"/>
        <v>6</v>
      </c>
      <c r="G46" s="6">
        <f t="shared" si="0"/>
        <v>6</v>
      </c>
      <c r="H46" s="6">
        <f t="shared" si="0"/>
        <v>6</v>
      </c>
    </row>
    <row r="47" spans="1:8" ht="12" customHeight="1">
      <c r="A47" s="102"/>
      <c r="B47" s="4" t="s">
        <v>65</v>
      </c>
      <c r="C47" s="5" t="s">
        <v>130</v>
      </c>
      <c r="D47" s="2" t="s">
        <v>201</v>
      </c>
      <c r="E47" s="6">
        <f t="shared" si="0"/>
        <v>6</v>
      </c>
      <c r="F47" s="6">
        <f t="shared" si="0"/>
        <v>6</v>
      </c>
      <c r="G47" s="6">
        <f t="shared" si="0"/>
        <v>6</v>
      </c>
      <c r="H47" s="6">
        <f t="shared" si="0"/>
        <v>6</v>
      </c>
    </row>
    <row r="48" spans="1:8" ht="12" customHeight="1">
      <c r="A48" s="102"/>
      <c r="B48" s="4" t="s">
        <v>66</v>
      </c>
      <c r="C48" s="5" t="s">
        <v>130</v>
      </c>
      <c r="D48" s="2" t="s">
        <v>201</v>
      </c>
      <c r="E48" s="6">
        <f t="shared" si="0"/>
        <v>6</v>
      </c>
      <c r="F48" s="6">
        <f t="shared" si="0"/>
        <v>6</v>
      </c>
      <c r="G48" s="6">
        <f t="shared" si="0"/>
        <v>6</v>
      </c>
      <c r="H48" s="6">
        <f t="shared" si="0"/>
        <v>6</v>
      </c>
    </row>
    <row r="49" spans="1:8" ht="12" customHeight="1">
      <c r="A49" s="102"/>
      <c r="B49" s="4" t="s">
        <v>67</v>
      </c>
      <c r="C49" s="5" t="s">
        <v>130</v>
      </c>
      <c r="D49" s="2" t="s">
        <v>201</v>
      </c>
      <c r="E49" s="6">
        <f t="shared" si="0"/>
        <v>6</v>
      </c>
      <c r="F49" s="6">
        <f t="shared" si="0"/>
        <v>6</v>
      </c>
      <c r="G49" s="6">
        <f t="shared" si="0"/>
        <v>6</v>
      </c>
      <c r="H49" s="6">
        <f t="shared" si="0"/>
        <v>6</v>
      </c>
    </row>
    <row r="50" spans="1:8" ht="12" customHeight="1">
      <c r="A50" s="102"/>
      <c r="B50" s="4" t="s">
        <v>68</v>
      </c>
      <c r="C50" s="5" t="s">
        <v>130</v>
      </c>
      <c r="D50" s="2" t="s">
        <v>201</v>
      </c>
      <c r="E50" s="6">
        <f t="shared" si="0"/>
        <v>6</v>
      </c>
      <c r="F50" s="6">
        <f t="shared" si="0"/>
        <v>6</v>
      </c>
      <c r="G50" s="6">
        <f t="shared" si="0"/>
        <v>6</v>
      </c>
      <c r="H50" s="6">
        <f t="shared" si="0"/>
        <v>6</v>
      </c>
    </row>
    <row r="51" spans="1:8" ht="12" customHeight="1">
      <c r="A51" s="102"/>
      <c r="B51" s="4" t="s">
        <v>69</v>
      </c>
      <c r="C51" s="5" t="s">
        <v>130</v>
      </c>
      <c r="D51" s="2" t="s">
        <v>201</v>
      </c>
      <c r="E51" s="6">
        <f t="shared" si="0"/>
        <v>6</v>
      </c>
      <c r="F51" s="6">
        <f t="shared" si="0"/>
        <v>6</v>
      </c>
      <c r="G51" s="6">
        <f t="shared" si="0"/>
        <v>6</v>
      </c>
      <c r="H51" s="6">
        <f t="shared" si="0"/>
        <v>6</v>
      </c>
    </row>
    <row r="52" spans="1:8" ht="12" customHeight="1">
      <c r="A52" s="102"/>
      <c r="B52" s="4" t="s">
        <v>70</v>
      </c>
      <c r="C52" s="5" t="s">
        <v>130</v>
      </c>
      <c r="D52" s="2" t="s">
        <v>201</v>
      </c>
      <c r="E52" s="6">
        <f t="shared" si="0"/>
        <v>6</v>
      </c>
      <c r="F52" s="6">
        <f t="shared" si="0"/>
        <v>6</v>
      </c>
      <c r="G52" s="6">
        <f t="shared" si="0"/>
        <v>6</v>
      </c>
      <c r="H52" s="6">
        <f t="shared" si="0"/>
        <v>6</v>
      </c>
    </row>
    <row r="53" spans="1:8" ht="12" customHeight="1">
      <c r="A53" s="102"/>
      <c r="B53" s="4" t="s">
        <v>71</v>
      </c>
      <c r="C53" s="5" t="s">
        <v>130</v>
      </c>
      <c r="D53" s="2" t="s">
        <v>201</v>
      </c>
      <c r="E53" s="6">
        <f t="shared" si="0"/>
        <v>6</v>
      </c>
      <c r="F53" s="6">
        <f t="shared" si="0"/>
        <v>6</v>
      </c>
      <c r="G53" s="6">
        <f t="shared" si="0"/>
        <v>6</v>
      </c>
      <c r="H53" s="6">
        <f t="shared" si="0"/>
        <v>6</v>
      </c>
    </row>
    <row r="54" spans="1:8" ht="12" customHeight="1">
      <c r="A54" s="102"/>
      <c r="B54" s="4" t="s">
        <v>72</v>
      </c>
      <c r="C54" s="5" t="s">
        <v>130</v>
      </c>
      <c r="D54" s="2" t="s">
        <v>201</v>
      </c>
      <c r="E54" s="6">
        <f t="shared" si="0"/>
        <v>6</v>
      </c>
      <c r="F54" s="6">
        <f t="shared" si="0"/>
        <v>6</v>
      </c>
      <c r="G54" s="6">
        <f t="shared" si="0"/>
        <v>6</v>
      </c>
      <c r="H54" s="6">
        <f t="shared" si="0"/>
        <v>6</v>
      </c>
    </row>
    <row r="55" spans="1:8" ht="12" customHeight="1">
      <c r="A55" s="102"/>
      <c r="B55" s="4" t="s">
        <v>73</v>
      </c>
      <c r="C55" s="5" t="s">
        <v>130</v>
      </c>
      <c r="D55" s="2" t="s">
        <v>201</v>
      </c>
      <c r="E55" s="6">
        <f t="shared" si="0"/>
        <v>6</v>
      </c>
      <c r="F55" s="6">
        <f t="shared" si="0"/>
        <v>6</v>
      </c>
      <c r="G55" s="6">
        <f t="shared" si="0"/>
        <v>6</v>
      </c>
      <c r="H55" s="6">
        <f t="shared" si="0"/>
        <v>6</v>
      </c>
    </row>
    <row r="56" spans="1:8" ht="12" customHeight="1">
      <c r="A56" s="81" t="s">
        <v>116</v>
      </c>
      <c r="B56" s="4">
        <v>20</v>
      </c>
      <c r="C56" s="5" t="s">
        <v>130</v>
      </c>
      <c r="D56" s="2" t="s">
        <v>125</v>
      </c>
      <c r="E56" s="21">
        <f>IF(E$31="","",E$33+IF(E$21=0,0,20*LOG(E166/((E$31^2+E166^2)^0.5))))</f>
        <v>-0.00043427203503542365</v>
      </c>
      <c r="F56" s="70">
        <f>IF(F$31="","",F$33+IF(F$20=0,0,20*LOG(F100/((F$31^2+F100^2)^0.5)))+IF(F$21=0,0,20*LOG(F166/((F$31^2+F166^2)^0.5)))+$F$18-$E$18)</f>
        <v>0</v>
      </c>
      <c r="G56" s="70">
        <f>IF(G$31="","",G$33+IF(G$20=0,0,20*LOG(G100/((G$31^2+G100^2)^0.5)))+IF(G$21=0,0,20*LOG(G166/((G$31^2+G166^2)^0.5)))+$G$18-$E$18)</f>
        <v>-40.00044160869525</v>
      </c>
      <c r="H56" s="21">
        <f>IF(H$31="","",H$33+IF(H$20=0,0,20*LOG(H100/((H$31^2+H100^2)^0.5)))+$H$18-$E$18)</f>
        <v>0</v>
      </c>
    </row>
    <row r="57" spans="1:8" ht="12" customHeight="1">
      <c r="A57" s="82"/>
      <c r="B57" s="4">
        <v>30</v>
      </c>
      <c r="C57" s="5" t="s">
        <v>130</v>
      </c>
      <c r="D57" s="2" t="s">
        <v>125</v>
      </c>
      <c r="E57" s="21">
        <f aca="true" t="shared" si="1" ref="E57:E77">IF(E$31="","",E$33+IF(E$21=0,0,20*LOG(E167/((E$31^2+E167^2)^0.5))))</f>
        <v>-0.000977051019602396</v>
      </c>
      <c r="F57" s="70">
        <f aca="true" t="shared" si="2" ref="F57:F77">IF(F$31="","",F$33+IF(F$20=0,0,20*LOG(F101/((F$31^2+F101^2)^0.5)))+IF(F$21=0,0,20*LOG(F167/((F$31^2+F167^2)^0.5)))+$F$18-$E$18)</f>
        <v>0</v>
      </c>
      <c r="G57" s="70">
        <f aca="true" t="shared" si="3" ref="G57:G77">IF(G$31="","",G$33+IF(G$20=0,0,20*LOG(G101/((G$31^2+G101^2)^0.5)))+IF(G$21=0,0,20*LOG(G167/((G$31^2+G167^2)^0.5)))+$G$18-$E$18)</f>
        <v>-36.47915920656619</v>
      </c>
      <c r="H57" s="21">
        <f aca="true" t="shared" si="4" ref="H57:H77">IF(H$31="","",H$33+IF(H$20=0,0,20*LOG(H101/((H$31^2+H101^2)^0.5)))+$H$18-$E$18)</f>
        <v>0</v>
      </c>
    </row>
    <row r="58" spans="1:8" ht="12" customHeight="1">
      <c r="A58" s="82"/>
      <c r="B58" s="4">
        <v>40</v>
      </c>
      <c r="C58" s="5" t="s">
        <v>130</v>
      </c>
      <c r="D58" s="2" t="s">
        <v>125</v>
      </c>
      <c r="E58" s="21">
        <f t="shared" si="1"/>
        <v>-0.0017368276511601272</v>
      </c>
      <c r="F58" s="70">
        <f t="shared" si="2"/>
        <v>0</v>
      </c>
      <c r="G58" s="70">
        <f t="shared" si="3"/>
        <v>-33.98114425103175</v>
      </c>
      <c r="H58" s="21">
        <f t="shared" si="4"/>
        <v>0</v>
      </c>
    </row>
    <row r="59" spans="1:8" ht="12" customHeight="1">
      <c r="A59" s="82"/>
      <c r="B59" s="4">
        <v>50</v>
      </c>
      <c r="C59" s="5" t="s">
        <v>130</v>
      </c>
      <c r="D59" s="2" t="s">
        <v>125</v>
      </c>
      <c r="E59" s="21">
        <f t="shared" si="1"/>
        <v>-0.002713488051205884</v>
      </c>
      <c r="F59" s="70">
        <f t="shared" si="2"/>
        <v>0</v>
      </c>
      <c r="G59" s="70">
        <f t="shared" si="3"/>
        <v>-32.04392065127066</v>
      </c>
      <c r="H59" s="21">
        <f t="shared" si="4"/>
        <v>0</v>
      </c>
    </row>
    <row r="60" spans="1:8" ht="12" customHeight="1">
      <c r="A60" s="82"/>
      <c r="B60" s="4">
        <v>70</v>
      </c>
      <c r="C60" s="5" t="s">
        <v>130</v>
      </c>
      <c r="D60" s="2" t="s">
        <v>125</v>
      </c>
      <c r="E60" s="21">
        <f t="shared" si="1"/>
        <v>-0.005316842519845561</v>
      </c>
      <c r="F60" s="70">
        <f t="shared" si="2"/>
        <v>0</v>
      </c>
      <c r="G60" s="70">
        <f t="shared" si="3"/>
        <v>-29.123963292174544</v>
      </c>
      <c r="H60" s="21">
        <f t="shared" si="4"/>
        <v>0</v>
      </c>
    </row>
    <row r="61" spans="1:8" ht="12" customHeight="1">
      <c r="A61" s="82"/>
      <c r="B61" s="4">
        <v>100</v>
      </c>
      <c r="C61" s="5" t="s">
        <v>130</v>
      </c>
      <c r="D61" s="2" t="s">
        <v>125</v>
      </c>
      <c r="E61" s="21">
        <f t="shared" si="1"/>
        <v>-0.010843794626304174</v>
      </c>
      <c r="F61" s="70">
        <f t="shared" si="2"/>
        <v>0</v>
      </c>
      <c r="G61" s="70">
        <f t="shared" si="3"/>
        <v>-26.03145104456614</v>
      </c>
      <c r="H61" s="21">
        <f t="shared" si="4"/>
        <v>0</v>
      </c>
    </row>
    <row r="62" spans="1:8" ht="12" customHeight="1">
      <c r="A62" s="82"/>
      <c r="B62" s="4">
        <v>150</v>
      </c>
      <c r="C62" s="5" t="s">
        <v>130</v>
      </c>
      <c r="D62" s="2" t="s">
        <v>125</v>
      </c>
      <c r="E62" s="21">
        <f t="shared" si="1"/>
        <v>-0.024360573393207165</v>
      </c>
      <c r="F62" s="70">
        <f t="shared" si="2"/>
        <v>0</v>
      </c>
      <c r="G62" s="70">
        <f t="shared" si="3"/>
        <v>-22.523142642219426</v>
      </c>
      <c r="H62" s="21">
        <f t="shared" si="4"/>
        <v>0</v>
      </c>
    </row>
    <row r="63" spans="1:8" ht="12" customHeight="1">
      <c r="A63" s="82"/>
      <c r="B63" s="4">
        <v>200</v>
      </c>
      <c r="C63" s="5" t="s">
        <v>130</v>
      </c>
      <c r="D63" s="2" t="s">
        <v>125</v>
      </c>
      <c r="E63" s="21">
        <f t="shared" si="1"/>
        <v>-0.04321366518628605</v>
      </c>
      <c r="F63" s="70">
        <f t="shared" si="2"/>
        <v>0</v>
      </c>
      <c r="G63" s="70">
        <f t="shared" si="3"/>
        <v>-20.04322100184649</v>
      </c>
      <c r="H63" s="21">
        <f t="shared" si="4"/>
        <v>0</v>
      </c>
    </row>
    <row r="64" spans="1:8" ht="12" customHeight="1">
      <c r="A64" s="82"/>
      <c r="B64" s="4">
        <v>300</v>
      </c>
      <c r="C64" s="5" t="s">
        <v>130</v>
      </c>
      <c r="D64" s="2" t="s">
        <v>125</v>
      </c>
      <c r="E64" s="21">
        <f t="shared" si="1"/>
        <v>-0.09663300535152683</v>
      </c>
      <c r="F64" s="70">
        <f t="shared" si="2"/>
        <v>0</v>
      </c>
      <c r="G64" s="70">
        <f t="shared" si="3"/>
        <v>-16.574815160898112</v>
      </c>
      <c r="H64" s="21">
        <f t="shared" si="4"/>
        <v>0</v>
      </c>
    </row>
    <row r="65" spans="1:8" ht="12" customHeight="1">
      <c r="A65" s="82"/>
      <c r="B65" s="4">
        <v>400</v>
      </c>
      <c r="C65" s="5" t="s">
        <v>130</v>
      </c>
      <c r="D65" s="2" t="s">
        <v>125</v>
      </c>
      <c r="E65" s="21">
        <f t="shared" si="1"/>
        <v>-0.17033311080879368</v>
      </c>
      <c r="F65" s="70">
        <f t="shared" si="2"/>
        <v>0</v>
      </c>
      <c r="G65" s="70">
        <f t="shared" si="3"/>
        <v>-14.149740534189377</v>
      </c>
      <c r="H65" s="21">
        <f t="shared" si="4"/>
        <v>0</v>
      </c>
    </row>
    <row r="66" spans="1:8" ht="12" customHeight="1">
      <c r="A66" s="82"/>
      <c r="B66" s="4">
        <v>500</v>
      </c>
      <c r="C66" s="5" t="s">
        <v>130</v>
      </c>
      <c r="D66" s="2" t="s">
        <v>125</v>
      </c>
      <c r="E66" s="21">
        <f t="shared" si="1"/>
        <v>-0.2632889556555871</v>
      </c>
      <c r="F66" s="70">
        <f t="shared" si="2"/>
        <v>0</v>
      </c>
      <c r="G66" s="70">
        <f t="shared" si="3"/>
        <v>-12.30449611887505</v>
      </c>
      <c r="H66" s="21">
        <f t="shared" si="4"/>
        <v>0</v>
      </c>
    </row>
    <row r="67" spans="1:8" ht="12" customHeight="1">
      <c r="A67" s="82"/>
      <c r="B67" s="4">
        <v>700</v>
      </c>
      <c r="C67" s="5" t="s">
        <v>130</v>
      </c>
      <c r="D67" s="2" t="s">
        <v>125</v>
      </c>
      <c r="E67" s="21">
        <f t="shared" si="1"/>
        <v>-0.5018626960941875</v>
      </c>
      <c r="F67" s="70">
        <f t="shared" si="2"/>
        <v>0</v>
      </c>
      <c r="G67" s="70">
        <f t="shared" si="3"/>
        <v>-9.620509145748883</v>
      </c>
      <c r="H67" s="21">
        <f t="shared" si="4"/>
        <v>0</v>
      </c>
    </row>
    <row r="68" spans="1:8" ht="12" customHeight="1">
      <c r="A68" s="82"/>
      <c r="B68" s="4" t="s">
        <v>43</v>
      </c>
      <c r="C68" s="5" t="s">
        <v>130</v>
      </c>
      <c r="D68" s="2" t="s">
        <v>125</v>
      </c>
      <c r="E68" s="21">
        <f t="shared" si="1"/>
        <v>-0.9690986627495128</v>
      </c>
      <c r="F68" s="70">
        <f t="shared" si="2"/>
        <v>0</v>
      </c>
      <c r="G68" s="70">
        <f t="shared" si="3"/>
        <v>-6.989705912689345</v>
      </c>
      <c r="H68" s="21">
        <f t="shared" si="4"/>
        <v>0</v>
      </c>
    </row>
    <row r="69" spans="1:8" ht="12" customHeight="1">
      <c r="A69" s="82"/>
      <c r="B69" s="4" t="s">
        <v>44</v>
      </c>
      <c r="C69" s="5" t="s">
        <v>130</v>
      </c>
      <c r="D69" s="2" t="s">
        <v>125</v>
      </c>
      <c r="E69" s="21">
        <f t="shared" si="1"/>
        <v>-1.9381976189648795</v>
      </c>
      <c r="F69" s="70">
        <f t="shared" si="2"/>
        <v>0</v>
      </c>
      <c r="G69" s="70">
        <f t="shared" si="3"/>
        <v>-4.436979687791094</v>
      </c>
      <c r="H69" s="21">
        <f t="shared" si="4"/>
        <v>0</v>
      </c>
    </row>
    <row r="70" spans="1:8" ht="12" customHeight="1">
      <c r="A70" s="82"/>
      <c r="B70" s="4" t="s">
        <v>45</v>
      </c>
      <c r="C70" s="5" t="s">
        <v>130</v>
      </c>
      <c r="D70" s="2" t="s">
        <v>125</v>
      </c>
      <c r="E70" s="21">
        <f t="shared" si="1"/>
        <v>-3.010296288311255</v>
      </c>
      <c r="F70" s="70">
        <f t="shared" si="2"/>
        <v>0</v>
      </c>
      <c r="G70" s="70">
        <f t="shared" si="3"/>
        <v>-3.0103036249714705</v>
      </c>
      <c r="H70" s="21">
        <f t="shared" si="4"/>
        <v>0</v>
      </c>
    </row>
    <row r="71" spans="1:8" ht="12" customHeight="1">
      <c r="A71" s="82"/>
      <c r="B71" s="4" t="s">
        <v>46</v>
      </c>
      <c r="C71" s="5" t="s">
        <v>130</v>
      </c>
      <c r="D71" s="2" t="s">
        <v>125</v>
      </c>
      <c r="E71" s="21">
        <f t="shared" si="1"/>
        <v>-5.118828530563764</v>
      </c>
      <c r="F71" s="70">
        <f t="shared" si="2"/>
        <v>0</v>
      </c>
      <c r="G71" s="70">
        <f t="shared" si="3"/>
        <v>-1.5970106861103517</v>
      </c>
      <c r="H71" s="21">
        <f t="shared" si="4"/>
        <v>0</v>
      </c>
    </row>
    <row r="72" spans="1:8" ht="12" customHeight="1">
      <c r="A72" s="82"/>
      <c r="B72" s="4" t="s">
        <v>47</v>
      </c>
      <c r="C72" s="5" t="s">
        <v>130</v>
      </c>
      <c r="D72" s="2" t="s">
        <v>125</v>
      </c>
      <c r="E72" s="21">
        <f t="shared" si="1"/>
        <v>-6.9896941740330085</v>
      </c>
      <c r="F72" s="70">
        <f t="shared" si="2"/>
        <v>0</v>
      </c>
      <c r="G72" s="70">
        <f t="shared" si="3"/>
        <v>-0.9691015974135979</v>
      </c>
      <c r="H72" s="21">
        <f t="shared" si="4"/>
        <v>0</v>
      </c>
    </row>
    <row r="73" spans="1:8" ht="12" customHeight="1">
      <c r="A73" s="82"/>
      <c r="B73" s="4" t="s">
        <v>48</v>
      </c>
      <c r="C73" s="5" t="s">
        <v>130</v>
      </c>
      <c r="D73" s="2" t="s">
        <v>125</v>
      </c>
      <c r="E73" s="21">
        <f t="shared" si="1"/>
        <v>-8.603373741003594</v>
      </c>
      <c r="F73" s="70">
        <f t="shared" si="2"/>
        <v>0</v>
      </c>
      <c r="G73" s="70">
        <f t="shared" si="3"/>
        <v>-0.6445809042230479</v>
      </c>
      <c r="H73" s="21">
        <f t="shared" si="4"/>
        <v>0</v>
      </c>
    </row>
    <row r="74" spans="1:8" ht="12" customHeight="1">
      <c r="A74" s="82"/>
      <c r="B74" s="4" t="s">
        <v>49</v>
      </c>
      <c r="C74" s="5" t="s">
        <v>130</v>
      </c>
      <c r="D74" s="2" t="s">
        <v>125</v>
      </c>
      <c r="E74" s="21">
        <f t="shared" si="1"/>
        <v>-11.222151999778692</v>
      </c>
      <c r="F74" s="70">
        <f t="shared" si="2"/>
        <v>0</v>
      </c>
      <c r="G74" s="70">
        <f t="shared" si="3"/>
        <v>-0.3407984494333931</v>
      </c>
      <c r="H74" s="21">
        <f t="shared" si="4"/>
        <v>0</v>
      </c>
    </row>
    <row r="75" spans="1:8" ht="12" customHeight="1">
      <c r="A75" s="82"/>
      <c r="B75" s="4" t="s">
        <v>50</v>
      </c>
      <c r="C75" s="5" t="s">
        <v>130</v>
      </c>
      <c r="D75" s="2" t="s">
        <v>125</v>
      </c>
      <c r="E75" s="21">
        <f t="shared" si="1"/>
        <v>-14.149726425227435</v>
      </c>
      <c r="F75" s="70">
        <f t="shared" si="2"/>
        <v>0</v>
      </c>
      <c r="G75" s="70">
        <f t="shared" si="3"/>
        <v>-0.17033367516727083</v>
      </c>
      <c r="H75" s="21">
        <f t="shared" si="4"/>
        <v>0</v>
      </c>
    </row>
    <row r="76" spans="1:8" ht="12" customHeight="1">
      <c r="A76" s="82"/>
      <c r="B76" s="4" t="s">
        <v>51</v>
      </c>
      <c r="C76" s="5" t="s">
        <v>130</v>
      </c>
      <c r="D76" s="2" t="s">
        <v>125</v>
      </c>
      <c r="E76" s="21">
        <f t="shared" si="1"/>
        <v>-17.57774770161042</v>
      </c>
      <c r="F76" s="70">
        <f t="shared" si="2"/>
        <v>0</v>
      </c>
      <c r="G76" s="70">
        <f t="shared" si="3"/>
        <v>-0.07652977043663611</v>
      </c>
      <c r="H76" s="21">
        <f t="shared" si="4"/>
        <v>0</v>
      </c>
    </row>
    <row r="77" spans="1:8" ht="12" customHeight="1">
      <c r="A77" s="83"/>
      <c r="B77" s="4" t="s">
        <v>52</v>
      </c>
      <c r="C77" s="5" t="s">
        <v>130</v>
      </c>
      <c r="D77" s="2" t="s">
        <v>125</v>
      </c>
      <c r="E77" s="21">
        <f t="shared" si="1"/>
        <v>-20.043206473806478</v>
      </c>
      <c r="F77" s="70">
        <f t="shared" si="2"/>
        <v>0</v>
      </c>
      <c r="G77" s="70">
        <f t="shared" si="3"/>
        <v>-0.043213810466681934</v>
      </c>
      <c r="H77" s="21">
        <f t="shared" si="4"/>
        <v>0</v>
      </c>
    </row>
    <row r="78" spans="1:8" ht="12" customHeight="1">
      <c r="A78" s="81" t="s">
        <v>117</v>
      </c>
      <c r="B78" s="4">
        <v>20</v>
      </c>
      <c r="C78" s="5" t="s">
        <v>130</v>
      </c>
      <c r="D78" s="2" t="s">
        <v>124</v>
      </c>
      <c r="E78" s="45">
        <f>IF(E144="",0,180/PI()*ATAN(-E144/E$31))+IF(E$19=1,180,0)</f>
        <v>-0.5729382137751311</v>
      </c>
      <c r="F78" s="45">
        <f>IF(F122="",0,180/PI()*ATAN(F122/F$31))+IF(F144="",0,180/PI()*ATAN(-F144/F$31))+IF(F$19=1,180,0)</f>
        <v>0</v>
      </c>
      <c r="G78" s="45">
        <f>IF(G122="",0,180/PI()*ATAN(G122/G$31))+IF(G144="",0,180/PI()*ATAN(-G144/G$31))+IF(G$19=1,-180,0)</f>
        <v>-90.57293821377512</v>
      </c>
      <c r="H78" s="45">
        <f>IF(H122="",0,180/PI()*ATAN(H122/H$31))+IF(H$19=1,-180,0)</f>
        <v>0</v>
      </c>
    </row>
    <row r="79" spans="1:8" ht="12" customHeight="1">
      <c r="A79" s="82"/>
      <c r="B79" s="4">
        <v>30</v>
      </c>
      <c r="C79" s="5" t="s">
        <v>130</v>
      </c>
      <c r="D79" s="2" t="s">
        <v>124</v>
      </c>
      <c r="E79" s="45">
        <f>IF(E145="",0,180/PI()*ATAN(-E145/E$31))+IF(E$19=1,180,0)</f>
        <v>-0.8593715178728608</v>
      </c>
      <c r="F79" s="45">
        <f aca="true" t="shared" si="5" ref="F79:F99">IF(F123="",0,180/PI()*ATAN(F123/F$31))+IF(F145="",0,180/PI()*ATAN(-F145/F$31))+IF(F$19=1,180,0)</f>
        <v>0</v>
      </c>
      <c r="G79" s="45">
        <f aca="true" t="shared" si="6" ref="G79:G99">IF(G123="",0,180/PI()*ATAN(G123/G$31))+IF(G145="",0,180/PI()*ATAN(-G145/G$31))+IF(G$19=1,-180,0)</f>
        <v>-90.85937151787286</v>
      </c>
      <c r="H79" s="45">
        <f aca="true" t="shared" si="7" ref="H79:H99">IF(H123="",0,180/PI()*ATAN(H123/H$31))+IF(H$19=1,-180,0)</f>
        <v>0</v>
      </c>
    </row>
    <row r="80" spans="1:8" ht="12" customHeight="1">
      <c r="A80" s="82"/>
      <c r="B80" s="4">
        <v>40</v>
      </c>
      <c r="C80" s="5" t="s">
        <v>130</v>
      </c>
      <c r="D80" s="2" t="s">
        <v>124</v>
      </c>
      <c r="E80" s="45">
        <f aca="true" t="shared" si="8" ref="E80:E99">IF(E146="",0,180/PI()*ATAN(-E146/E$31))+IF(E$19=1,180,0)</f>
        <v>-1.1457618706486223</v>
      </c>
      <c r="F80" s="45">
        <f t="shared" si="5"/>
        <v>0</v>
      </c>
      <c r="G80" s="45">
        <f t="shared" si="6"/>
        <v>-91.14576187064861</v>
      </c>
      <c r="H80" s="45">
        <f t="shared" si="7"/>
        <v>0</v>
      </c>
    </row>
    <row r="81" spans="1:8" ht="12" customHeight="1">
      <c r="A81" s="82"/>
      <c r="B81" s="4">
        <v>50</v>
      </c>
      <c r="C81" s="5" t="s">
        <v>130</v>
      </c>
      <c r="D81" s="2" t="s">
        <v>124</v>
      </c>
      <c r="E81" s="45">
        <f t="shared" si="8"/>
        <v>-1.432094975028492</v>
      </c>
      <c r="F81" s="45">
        <f t="shared" si="5"/>
        <v>0</v>
      </c>
      <c r="G81" s="45">
        <f t="shared" si="6"/>
        <v>-91.43209497502849</v>
      </c>
      <c r="H81" s="45">
        <f t="shared" si="7"/>
        <v>0</v>
      </c>
    </row>
    <row r="82" spans="1:8" ht="12" customHeight="1">
      <c r="A82" s="82"/>
      <c r="B82" s="4">
        <v>70</v>
      </c>
      <c r="C82" s="5" t="s">
        <v>130</v>
      </c>
      <c r="D82" s="2" t="s">
        <v>124</v>
      </c>
      <c r="E82" s="45">
        <f t="shared" si="8"/>
        <v>-2.0045323403297184</v>
      </c>
      <c r="F82" s="45">
        <f t="shared" si="5"/>
        <v>0</v>
      </c>
      <c r="G82" s="45">
        <f t="shared" si="6"/>
        <v>-92.00453234032972</v>
      </c>
      <c r="H82" s="45">
        <f t="shared" si="7"/>
        <v>0</v>
      </c>
    </row>
    <row r="83" spans="1:8" ht="12" customHeight="1">
      <c r="A83" s="82"/>
      <c r="B83" s="4">
        <v>100</v>
      </c>
      <c r="C83" s="5" t="s">
        <v>130</v>
      </c>
      <c r="D83" s="2" t="s">
        <v>124</v>
      </c>
      <c r="E83" s="45">
        <f t="shared" si="8"/>
        <v>-2.862402812362388</v>
      </c>
      <c r="F83" s="45">
        <f t="shared" si="5"/>
        <v>0</v>
      </c>
      <c r="G83" s="45">
        <f t="shared" si="6"/>
        <v>-92.86240281236239</v>
      </c>
      <c r="H83" s="45">
        <f t="shared" si="7"/>
        <v>0</v>
      </c>
    </row>
    <row r="84" spans="1:8" ht="12" customHeight="1">
      <c r="A84" s="82"/>
      <c r="B84" s="4">
        <v>150</v>
      </c>
      <c r="C84" s="5" t="s">
        <v>130</v>
      </c>
      <c r="D84" s="2" t="s">
        <v>124</v>
      </c>
      <c r="E84" s="45">
        <f t="shared" si="8"/>
        <v>-4.289149719446131</v>
      </c>
      <c r="F84" s="45">
        <f t="shared" si="5"/>
        <v>0</v>
      </c>
      <c r="G84" s="45">
        <f t="shared" si="6"/>
        <v>-94.28914971944613</v>
      </c>
      <c r="H84" s="45">
        <f t="shared" si="7"/>
        <v>0</v>
      </c>
    </row>
    <row r="85" spans="1:8" ht="12" customHeight="1">
      <c r="A85" s="82"/>
      <c r="B85" s="4">
        <v>200</v>
      </c>
      <c r="C85" s="5" t="s">
        <v>130</v>
      </c>
      <c r="D85" s="2" t="s">
        <v>124</v>
      </c>
      <c r="E85" s="45">
        <f t="shared" si="8"/>
        <v>-5.710588345848657</v>
      </c>
      <c r="F85" s="45">
        <f t="shared" si="5"/>
        <v>0</v>
      </c>
      <c r="G85" s="45">
        <f t="shared" si="6"/>
        <v>-95.71058834584865</v>
      </c>
      <c r="H85" s="45">
        <f t="shared" si="7"/>
        <v>0</v>
      </c>
    </row>
    <row r="86" spans="1:8" ht="12" customHeight="1">
      <c r="A86" s="82"/>
      <c r="B86" s="4">
        <v>300</v>
      </c>
      <c r="C86" s="5" t="s">
        <v>130</v>
      </c>
      <c r="D86" s="2" t="s">
        <v>124</v>
      </c>
      <c r="E86" s="45">
        <f t="shared" si="8"/>
        <v>-8.530758510338039</v>
      </c>
      <c r="F86" s="45">
        <f t="shared" si="5"/>
        <v>0</v>
      </c>
      <c r="G86" s="45">
        <f t="shared" si="6"/>
        <v>-98.53075851033803</v>
      </c>
      <c r="H86" s="45">
        <f t="shared" si="7"/>
        <v>0</v>
      </c>
    </row>
    <row r="87" spans="1:8" ht="12" customHeight="1">
      <c r="A87" s="82"/>
      <c r="B87" s="4">
        <v>400</v>
      </c>
      <c r="C87" s="5" t="s">
        <v>130</v>
      </c>
      <c r="D87" s="2" t="s">
        <v>124</v>
      </c>
      <c r="E87" s="45">
        <f t="shared" si="8"/>
        <v>-11.309923167159418</v>
      </c>
      <c r="F87" s="45">
        <f t="shared" si="5"/>
        <v>0</v>
      </c>
      <c r="G87" s="45">
        <f t="shared" si="6"/>
        <v>-101.30992316715941</v>
      </c>
      <c r="H87" s="45">
        <f t="shared" si="7"/>
        <v>0</v>
      </c>
    </row>
    <row r="88" spans="1:8" ht="12" customHeight="1">
      <c r="A88" s="82"/>
      <c r="B88" s="4">
        <v>500</v>
      </c>
      <c r="C88" s="5" t="s">
        <v>130</v>
      </c>
      <c r="D88" s="2" t="s">
        <v>124</v>
      </c>
      <c r="E88" s="45">
        <f t="shared" si="8"/>
        <v>-14.036232080708366</v>
      </c>
      <c r="F88" s="45">
        <f t="shared" si="5"/>
        <v>0</v>
      </c>
      <c r="G88" s="45">
        <f t="shared" si="6"/>
        <v>-104.03623208070836</v>
      </c>
      <c r="H88" s="45">
        <f t="shared" si="7"/>
        <v>0</v>
      </c>
    </row>
    <row r="89" spans="1:8" ht="12" customHeight="1">
      <c r="A89" s="82"/>
      <c r="B89" s="4">
        <v>700</v>
      </c>
      <c r="C89" s="5" t="s">
        <v>130</v>
      </c>
      <c r="D89" s="2" t="s">
        <v>124</v>
      </c>
      <c r="E89" s="45">
        <f t="shared" si="8"/>
        <v>-19.290031129222</v>
      </c>
      <c r="F89" s="45">
        <f t="shared" si="5"/>
        <v>0</v>
      </c>
      <c r="G89" s="45">
        <f t="shared" si="6"/>
        <v>-109.290031129222</v>
      </c>
      <c r="H89" s="45">
        <f t="shared" si="7"/>
        <v>0</v>
      </c>
    </row>
    <row r="90" spans="1:8" ht="12" customHeight="1">
      <c r="A90" s="82"/>
      <c r="B90" s="4" t="s">
        <v>21</v>
      </c>
      <c r="C90" s="5" t="s">
        <v>130</v>
      </c>
      <c r="D90" s="2" t="s">
        <v>124</v>
      </c>
      <c r="E90" s="45">
        <f t="shared" si="8"/>
        <v>-26.56503181880489</v>
      </c>
      <c r="F90" s="45">
        <f t="shared" si="5"/>
        <v>0</v>
      </c>
      <c r="G90" s="45">
        <f t="shared" si="6"/>
        <v>-116.56503181880488</v>
      </c>
      <c r="H90" s="45">
        <f t="shared" si="7"/>
        <v>0</v>
      </c>
    </row>
    <row r="91" spans="1:8" ht="12" customHeight="1">
      <c r="A91" s="82"/>
      <c r="B91" s="4" t="s">
        <v>22</v>
      </c>
      <c r="C91" s="5" t="s">
        <v>130</v>
      </c>
      <c r="D91" s="2" t="s">
        <v>124</v>
      </c>
      <c r="E91" s="45">
        <f t="shared" si="8"/>
        <v>-36.869874415913166</v>
      </c>
      <c r="F91" s="45">
        <f t="shared" si="5"/>
        <v>0</v>
      </c>
      <c r="G91" s="45">
        <f t="shared" si="6"/>
        <v>-126.86987441591316</v>
      </c>
      <c r="H91" s="45">
        <f t="shared" si="7"/>
        <v>0</v>
      </c>
    </row>
    <row r="92" spans="1:8" ht="12" customHeight="1">
      <c r="A92" s="82"/>
      <c r="B92" s="4" t="s">
        <v>23</v>
      </c>
      <c r="C92" s="5" t="s">
        <v>130</v>
      </c>
      <c r="D92" s="2" t="s">
        <v>124</v>
      </c>
      <c r="E92" s="45">
        <f t="shared" si="8"/>
        <v>-44.9999758021525</v>
      </c>
      <c r="F92" s="45">
        <f t="shared" si="5"/>
        <v>0</v>
      </c>
      <c r="G92" s="45">
        <f t="shared" si="6"/>
        <v>-134.99997580215248</v>
      </c>
      <c r="H92" s="45">
        <f t="shared" si="7"/>
        <v>0</v>
      </c>
    </row>
    <row r="93" spans="1:8" ht="12" customHeight="1">
      <c r="A93" s="82"/>
      <c r="B93" s="4" t="s">
        <v>24</v>
      </c>
      <c r="C93" s="5" t="s">
        <v>130</v>
      </c>
      <c r="D93" s="2" t="s">
        <v>124</v>
      </c>
      <c r="E93" s="45">
        <f t="shared" si="8"/>
        <v>-56.30991013754197</v>
      </c>
      <c r="F93" s="45">
        <f t="shared" si="5"/>
        <v>0</v>
      </c>
      <c r="G93" s="45">
        <f t="shared" si="6"/>
        <v>-146.30991013754195</v>
      </c>
      <c r="H93" s="45">
        <f t="shared" si="7"/>
        <v>0</v>
      </c>
    </row>
    <row r="94" spans="1:8" ht="12" customHeight="1">
      <c r="A94" s="82"/>
      <c r="B94" s="4" t="s">
        <v>25</v>
      </c>
      <c r="C94" s="5" t="s">
        <v>130</v>
      </c>
      <c r="D94" s="2" t="s">
        <v>124</v>
      </c>
      <c r="E94" s="45">
        <f t="shared" si="8"/>
        <v>-63.434929464639104</v>
      </c>
      <c r="F94" s="45">
        <f t="shared" si="5"/>
        <v>0</v>
      </c>
      <c r="G94" s="45">
        <f t="shared" si="6"/>
        <v>-153.43492946463908</v>
      </c>
      <c r="H94" s="45">
        <f t="shared" si="7"/>
        <v>0</v>
      </c>
    </row>
    <row r="95" spans="1:8" ht="12" customHeight="1">
      <c r="A95" s="82"/>
      <c r="B95" s="4" t="s">
        <v>26</v>
      </c>
      <c r="C95" s="5" t="s">
        <v>130</v>
      </c>
      <c r="D95" s="2" t="s">
        <v>124</v>
      </c>
      <c r="E95" s="45">
        <f t="shared" si="8"/>
        <v>-68.1985738254724</v>
      </c>
      <c r="F95" s="45">
        <f t="shared" si="5"/>
        <v>0</v>
      </c>
      <c r="G95" s="45">
        <f t="shared" si="6"/>
        <v>-158.19857382547238</v>
      </c>
      <c r="H95" s="45">
        <f t="shared" si="7"/>
        <v>0</v>
      </c>
    </row>
    <row r="96" spans="1:8" ht="12" customHeight="1">
      <c r="A96" s="82"/>
      <c r="B96" s="4" t="s">
        <v>27</v>
      </c>
      <c r="C96" s="5" t="s">
        <v>130</v>
      </c>
      <c r="D96" s="2" t="s">
        <v>124</v>
      </c>
      <c r="E96" s="45">
        <f t="shared" si="8"/>
        <v>-74.05459131530407</v>
      </c>
      <c r="F96" s="45">
        <f t="shared" si="5"/>
        <v>0</v>
      </c>
      <c r="G96" s="45">
        <f t="shared" si="6"/>
        <v>-164.05459131530407</v>
      </c>
      <c r="H96" s="45">
        <f t="shared" si="7"/>
        <v>0</v>
      </c>
    </row>
    <row r="97" spans="1:8" ht="12" customHeight="1">
      <c r="A97" s="82"/>
      <c r="B97" s="4" t="s">
        <v>28</v>
      </c>
      <c r="C97" s="5" t="s">
        <v>130</v>
      </c>
      <c r="D97" s="2" t="s">
        <v>124</v>
      </c>
      <c r="E97" s="45">
        <f t="shared" si="8"/>
        <v>-78.69005821911173</v>
      </c>
      <c r="F97" s="45">
        <f t="shared" si="5"/>
        <v>0</v>
      </c>
      <c r="G97" s="45">
        <f t="shared" si="6"/>
        <v>-168.69005821911173</v>
      </c>
      <c r="H97" s="45">
        <f t="shared" si="7"/>
        <v>0</v>
      </c>
    </row>
    <row r="98" spans="1:8" ht="12" customHeight="1">
      <c r="A98" s="82"/>
      <c r="B98" s="4" t="s">
        <v>29</v>
      </c>
      <c r="C98" s="5" t="s">
        <v>130</v>
      </c>
      <c r="D98" s="2" t="s">
        <v>124</v>
      </c>
      <c r="E98" s="45">
        <f t="shared" si="8"/>
        <v>-82.40535029135859</v>
      </c>
      <c r="F98" s="45">
        <f t="shared" si="5"/>
        <v>0</v>
      </c>
      <c r="G98" s="45">
        <f t="shared" si="6"/>
        <v>-172.4053502913586</v>
      </c>
      <c r="H98" s="45">
        <f t="shared" si="7"/>
        <v>0</v>
      </c>
    </row>
    <row r="99" spans="1:8" ht="12" customHeight="1">
      <c r="A99" s="83"/>
      <c r="B99" s="4" t="s">
        <v>30</v>
      </c>
      <c r="C99" s="5" t="s">
        <v>130</v>
      </c>
      <c r="D99" s="2" t="s">
        <v>124</v>
      </c>
      <c r="E99" s="45">
        <f t="shared" si="8"/>
        <v>-84.28940207084541</v>
      </c>
      <c r="F99" s="45">
        <f t="shared" si="5"/>
        <v>0</v>
      </c>
      <c r="G99" s="45">
        <f t="shared" si="6"/>
        <v>-174.2894020708454</v>
      </c>
      <c r="H99" s="45">
        <f t="shared" si="7"/>
        <v>0</v>
      </c>
    </row>
    <row r="100" spans="1:8" ht="12" customHeight="1">
      <c r="A100" s="81" t="s">
        <v>202</v>
      </c>
      <c r="B100" s="4">
        <v>20</v>
      </c>
      <c r="C100" s="5" t="s">
        <v>130</v>
      </c>
      <c r="D100" s="2" t="s">
        <v>201</v>
      </c>
      <c r="E100" s="6">
        <f aca="true" t="shared" si="9" ref="E100:H121">IF(E$22="","",2*3.14159*$B100*E$22*0.001)</f>
      </c>
      <c r="F100" s="6">
        <f t="shared" si="9"/>
      </c>
      <c r="G100" s="6">
        <f t="shared" si="9"/>
        <v>0.059999949320168104</v>
      </c>
      <c r="H100" s="6">
        <f t="shared" si="9"/>
      </c>
    </row>
    <row r="101" spans="1:8" ht="12" customHeight="1">
      <c r="A101" s="82"/>
      <c r="B101" s="4">
        <v>30</v>
      </c>
      <c r="C101" s="5" t="s">
        <v>130</v>
      </c>
      <c r="D101" s="2" t="s">
        <v>201</v>
      </c>
      <c r="E101" s="6">
        <f t="shared" si="9"/>
      </c>
      <c r="F101" s="6">
        <f t="shared" si="9"/>
      </c>
      <c r="G101" s="6">
        <f t="shared" si="9"/>
        <v>0.08999992398025215</v>
      </c>
      <c r="H101" s="6">
        <f t="shared" si="9"/>
      </c>
    </row>
    <row r="102" spans="1:8" ht="12" customHeight="1">
      <c r="A102" s="82"/>
      <c r="B102" s="4">
        <v>40</v>
      </c>
      <c r="C102" s="5" t="s">
        <v>130</v>
      </c>
      <c r="D102" s="2" t="s">
        <v>201</v>
      </c>
      <c r="E102" s="6">
        <f t="shared" si="9"/>
      </c>
      <c r="F102" s="6">
        <f t="shared" si="9"/>
      </c>
      <c r="G102" s="6">
        <f t="shared" si="9"/>
        <v>0.11999989864033621</v>
      </c>
      <c r="H102" s="6">
        <f t="shared" si="9"/>
      </c>
    </row>
    <row r="103" spans="1:8" ht="12" customHeight="1">
      <c r="A103" s="82"/>
      <c r="B103" s="4">
        <v>50</v>
      </c>
      <c r="C103" s="5" t="s">
        <v>130</v>
      </c>
      <c r="D103" s="2" t="s">
        <v>201</v>
      </c>
      <c r="E103" s="6">
        <f t="shared" si="9"/>
      </c>
      <c r="F103" s="6">
        <f t="shared" si="9"/>
      </c>
      <c r="G103" s="6">
        <f t="shared" si="9"/>
        <v>0.14999987330042028</v>
      </c>
      <c r="H103" s="6">
        <f t="shared" si="9"/>
      </c>
    </row>
    <row r="104" spans="1:8" ht="12" customHeight="1">
      <c r="A104" s="82"/>
      <c r="B104" s="4">
        <v>70</v>
      </c>
      <c r="C104" s="5" t="s">
        <v>130</v>
      </c>
      <c r="D104" s="2" t="s">
        <v>201</v>
      </c>
      <c r="E104" s="6">
        <f t="shared" si="9"/>
      </c>
      <c r="F104" s="6">
        <f t="shared" si="9"/>
      </c>
      <c r="G104" s="6">
        <f t="shared" si="9"/>
        <v>0.20999982262058833</v>
      </c>
      <c r="H104" s="6">
        <f t="shared" si="9"/>
      </c>
    </row>
    <row r="105" spans="1:8" ht="12" customHeight="1">
      <c r="A105" s="82"/>
      <c r="B105" s="4">
        <v>100</v>
      </c>
      <c r="C105" s="5" t="s">
        <v>130</v>
      </c>
      <c r="D105" s="2" t="s">
        <v>201</v>
      </c>
      <c r="E105" s="6">
        <f t="shared" si="9"/>
      </c>
      <c r="F105" s="6">
        <f t="shared" si="9"/>
      </c>
      <c r="G105" s="6">
        <f t="shared" si="9"/>
        <v>0.29999974660084056</v>
      </c>
      <c r="H105" s="6">
        <f t="shared" si="9"/>
      </c>
    </row>
    <row r="106" spans="1:8" ht="12" customHeight="1">
      <c r="A106" s="82"/>
      <c r="B106" s="4">
        <v>150</v>
      </c>
      <c r="C106" s="5" t="s">
        <v>130</v>
      </c>
      <c r="D106" s="2" t="s">
        <v>201</v>
      </c>
      <c r="E106" s="6">
        <f t="shared" si="9"/>
      </c>
      <c r="F106" s="6">
        <f t="shared" si="9"/>
      </c>
      <c r="G106" s="6">
        <f t="shared" si="9"/>
        <v>0.44999961990126075</v>
      </c>
      <c r="H106" s="6">
        <f t="shared" si="9"/>
      </c>
    </row>
    <row r="107" spans="1:8" ht="12" customHeight="1">
      <c r="A107" s="82"/>
      <c r="B107" s="4">
        <v>200</v>
      </c>
      <c r="C107" s="5" t="s">
        <v>130</v>
      </c>
      <c r="D107" s="2" t="s">
        <v>201</v>
      </c>
      <c r="E107" s="6">
        <f t="shared" si="9"/>
      </c>
      <c r="F107" s="6">
        <f t="shared" si="9"/>
      </c>
      <c r="G107" s="6">
        <f t="shared" si="9"/>
        <v>0.5999994932016811</v>
      </c>
      <c r="H107" s="6">
        <f t="shared" si="9"/>
      </c>
    </row>
    <row r="108" spans="1:8" ht="12" customHeight="1">
      <c r="A108" s="82"/>
      <c r="B108" s="4">
        <v>300</v>
      </c>
      <c r="C108" s="5" t="s">
        <v>130</v>
      </c>
      <c r="D108" s="2" t="s">
        <v>201</v>
      </c>
      <c r="E108" s="6">
        <f t="shared" si="9"/>
      </c>
      <c r="F108" s="6">
        <f t="shared" si="9"/>
      </c>
      <c r="G108" s="6">
        <f t="shared" si="9"/>
        <v>0.8999992398025215</v>
      </c>
      <c r="H108" s="6">
        <f t="shared" si="9"/>
      </c>
    </row>
    <row r="109" spans="1:8" ht="12" customHeight="1">
      <c r="A109" s="82"/>
      <c r="B109" s="4">
        <v>400</v>
      </c>
      <c r="C109" s="5" t="s">
        <v>130</v>
      </c>
      <c r="D109" s="2" t="s">
        <v>201</v>
      </c>
      <c r="E109" s="6">
        <f t="shared" si="9"/>
      </c>
      <c r="F109" s="6">
        <f t="shared" si="9"/>
      </c>
      <c r="G109" s="6">
        <f t="shared" si="9"/>
        <v>1.1999989864033622</v>
      </c>
      <c r="H109" s="6">
        <f t="shared" si="9"/>
      </c>
    </row>
    <row r="110" spans="1:8" ht="12" customHeight="1">
      <c r="A110" s="82"/>
      <c r="B110" s="4">
        <v>500</v>
      </c>
      <c r="C110" s="5" t="s">
        <v>130</v>
      </c>
      <c r="D110" s="2" t="s">
        <v>201</v>
      </c>
      <c r="E110" s="6">
        <f t="shared" si="9"/>
      </c>
      <c r="F110" s="6">
        <f t="shared" si="9"/>
      </c>
      <c r="G110" s="6">
        <f t="shared" si="9"/>
        <v>1.4999987330042024</v>
      </c>
      <c r="H110" s="6">
        <f t="shared" si="9"/>
      </c>
    </row>
    <row r="111" spans="1:8" ht="12" customHeight="1">
      <c r="A111" s="82"/>
      <c r="B111" s="4">
        <v>700</v>
      </c>
      <c r="C111" s="5" t="s">
        <v>130</v>
      </c>
      <c r="D111" s="2" t="s">
        <v>201</v>
      </c>
      <c r="E111" s="6">
        <f t="shared" si="9"/>
      </c>
      <c r="F111" s="6">
        <f t="shared" si="9"/>
      </c>
      <c r="G111" s="6">
        <f t="shared" si="9"/>
        <v>2.0999982262058836</v>
      </c>
      <c r="H111" s="6">
        <f t="shared" si="9"/>
      </c>
    </row>
    <row r="112" spans="1:8" ht="12" customHeight="1">
      <c r="A112" s="82"/>
      <c r="B112" s="4">
        <v>1000</v>
      </c>
      <c r="C112" s="5" t="s">
        <v>130</v>
      </c>
      <c r="D112" s="2" t="s">
        <v>201</v>
      </c>
      <c r="E112" s="6">
        <f t="shared" si="9"/>
      </c>
      <c r="F112" s="6">
        <f t="shared" si="9"/>
      </c>
      <c r="G112" s="6">
        <f t="shared" si="9"/>
        <v>2.999997466008405</v>
      </c>
      <c r="H112" s="6">
        <f t="shared" si="9"/>
      </c>
    </row>
    <row r="113" spans="1:8" ht="12" customHeight="1">
      <c r="A113" s="82"/>
      <c r="B113" s="4">
        <v>1500</v>
      </c>
      <c r="C113" s="5" t="s">
        <v>130</v>
      </c>
      <c r="D113" s="2" t="s">
        <v>201</v>
      </c>
      <c r="E113" s="6">
        <f t="shared" si="9"/>
      </c>
      <c r="F113" s="6">
        <f t="shared" si="9"/>
      </c>
      <c r="G113" s="6">
        <f t="shared" si="9"/>
        <v>4.499996199012608</v>
      </c>
      <c r="H113" s="6">
        <f t="shared" si="9"/>
      </c>
    </row>
    <row r="114" spans="1:8" ht="12" customHeight="1">
      <c r="A114" s="82"/>
      <c r="B114" s="4">
        <v>2000</v>
      </c>
      <c r="C114" s="5" t="s">
        <v>130</v>
      </c>
      <c r="D114" s="2" t="s">
        <v>201</v>
      </c>
      <c r="E114" s="6">
        <f t="shared" si="9"/>
      </c>
      <c r="F114" s="6">
        <f t="shared" si="9"/>
      </c>
      <c r="G114" s="6">
        <f t="shared" si="9"/>
        <v>5.99999493201681</v>
      </c>
      <c r="H114" s="6">
        <f t="shared" si="9"/>
      </c>
    </row>
    <row r="115" spans="1:8" ht="12" customHeight="1">
      <c r="A115" s="82"/>
      <c r="B115" s="4">
        <v>3000</v>
      </c>
      <c r="C115" s="5" t="s">
        <v>130</v>
      </c>
      <c r="D115" s="2" t="s">
        <v>201</v>
      </c>
      <c r="E115" s="6">
        <f t="shared" si="9"/>
      </c>
      <c r="F115" s="6">
        <f t="shared" si="9"/>
      </c>
      <c r="G115" s="6">
        <f t="shared" si="9"/>
        <v>8.999992398025215</v>
      </c>
      <c r="H115" s="6">
        <f t="shared" si="9"/>
      </c>
    </row>
    <row r="116" spans="1:8" ht="12" customHeight="1">
      <c r="A116" s="82"/>
      <c r="B116" s="4">
        <v>4000</v>
      </c>
      <c r="C116" s="5" t="s">
        <v>130</v>
      </c>
      <c r="D116" s="2" t="s">
        <v>201</v>
      </c>
      <c r="E116" s="6">
        <f t="shared" si="9"/>
      </c>
      <c r="F116" s="6">
        <f t="shared" si="9"/>
      </c>
      <c r="G116" s="6">
        <f t="shared" si="9"/>
        <v>11.99998986403362</v>
      </c>
      <c r="H116" s="6">
        <f t="shared" si="9"/>
      </c>
    </row>
    <row r="117" spans="1:8" ht="12" customHeight="1">
      <c r="A117" s="82"/>
      <c r="B117" s="4">
        <v>5000</v>
      </c>
      <c r="C117" s="5" t="s">
        <v>130</v>
      </c>
      <c r="D117" s="2" t="s">
        <v>201</v>
      </c>
      <c r="E117" s="6">
        <f t="shared" si="9"/>
      </c>
      <c r="F117" s="6">
        <f t="shared" si="9"/>
      </c>
      <c r="G117" s="6">
        <f t="shared" si="9"/>
        <v>14.999987330042025</v>
      </c>
      <c r="H117" s="6">
        <f t="shared" si="9"/>
      </c>
    </row>
    <row r="118" spans="1:8" ht="12" customHeight="1">
      <c r="A118" s="82"/>
      <c r="B118" s="4">
        <v>7000</v>
      </c>
      <c r="C118" s="5" t="s">
        <v>130</v>
      </c>
      <c r="D118" s="2" t="s">
        <v>201</v>
      </c>
      <c r="E118" s="6">
        <f t="shared" si="9"/>
      </c>
      <c r="F118" s="6">
        <f t="shared" si="9"/>
      </c>
      <c r="G118" s="6">
        <f t="shared" si="9"/>
        <v>20.999982262058836</v>
      </c>
      <c r="H118" s="6">
        <f t="shared" si="9"/>
      </c>
    </row>
    <row r="119" spans="1:8" ht="12" customHeight="1">
      <c r="A119" s="82"/>
      <c r="B119" s="4">
        <v>10000</v>
      </c>
      <c r="C119" s="5" t="s">
        <v>130</v>
      </c>
      <c r="D119" s="2" t="s">
        <v>201</v>
      </c>
      <c r="E119" s="6">
        <f t="shared" si="9"/>
      </c>
      <c r="F119" s="6">
        <f t="shared" si="9"/>
      </c>
      <c r="G119" s="6">
        <f t="shared" si="9"/>
        <v>29.99997466008405</v>
      </c>
      <c r="H119" s="6">
        <f t="shared" si="9"/>
      </c>
    </row>
    <row r="120" spans="1:8" ht="12" customHeight="1">
      <c r="A120" s="82"/>
      <c r="B120" s="4">
        <v>15000</v>
      </c>
      <c r="C120" s="5" t="s">
        <v>130</v>
      </c>
      <c r="D120" s="2" t="s">
        <v>201</v>
      </c>
      <c r="E120" s="6">
        <f t="shared" si="9"/>
      </c>
      <c r="F120" s="6">
        <f t="shared" si="9"/>
      </c>
      <c r="G120" s="6">
        <f t="shared" si="9"/>
        <v>44.999961990126074</v>
      </c>
      <c r="H120" s="6">
        <f t="shared" si="9"/>
      </c>
    </row>
    <row r="121" spans="1:8" ht="12" customHeight="1">
      <c r="A121" s="83"/>
      <c r="B121" s="4">
        <v>20000</v>
      </c>
      <c r="C121" s="5" t="s">
        <v>130</v>
      </c>
      <c r="D121" s="2" t="s">
        <v>201</v>
      </c>
      <c r="E121" s="6">
        <f t="shared" si="9"/>
      </c>
      <c r="F121" s="6">
        <f t="shared" si="9"/>
      </c>
      <c r="G121" s="6">
        <f t="shared" si="9"/>
        <v>59.9999493201681</v>
      </c>
      <c r="H121" s="6">
        <f t="shared" si="9"/>
      </c>
    </row>
    <row r="122" spans="1:8" ht="12" customHeight="1">
      <c r="A122" s="81" t="s">
        <v>203</v>
      </c>
      <c r="B122" s="4">
        <v>20</v>
      </c>
      <c r="C122" s="5" t="s">
        <v>130</v>
      </c>
      <c r="D122" s="2" t="s">
        <v>201</v>
      </c>
      <c r="E122" s="6">
        <f aca="true" t="shared" si="10" ref="E122:H143">IF(E$23="","",1/(2*3.14159*$B100*E$23/1000000))</f>
      </c>
      <c r="F122" s="6">
        <f t="shared" si="10"/>
      </c>
      <c r="G122" s="6">
        <f t="shared" si="10"/>
        <v>600.0005067987471</v>
      </c>
      <c r="H122" s="6">
        <f t="shared" si="10"/>
      </c>
    </row>
    <row r="123" spans="1:8" ht="12" customHeight="1">
      <c r="A123" s="82"/>
      <c r="B123" s="4">
        <v>30</v>
      </c>
      <c r="C123" s="5" t="s">
        <v>130</v>
      </c>
      <c r="D123" s="2" t="s">
        <v>201</v>
      </c>
      <c r="E123" s="6">
        <f t="shared" si="10"/>
      </c>
      <c r="F123" s="6">
        <f t="shared" si="10"/>
      </c>
      <c r="G123" s="6">
        <f t="shared" si="10"/>
        <v>400.0003378658314</v>
      </c>
      <c r="H123" s="6">
        <f t="shared" si="10"/>
      </c>
    </row>
    <row r="124" spans="1:8" ht="12" customHeight="1">
      <c r="A124" s="82"/>
      <c r="B124" s="4">
        <v>40</v>
      </c>
      <c r="C124" s="5" t="s">
        <v>130</v>
      </c>
      <c r="D124" s="2" t="s">
        <v>201</v>
      </c>
      <c r="E124" s="6">
        <f t="shared" si="10"/>
      </c>
      <c r="F124" s="6">
        <f t="shared" si="10"/>
      </c>
      <c r="G124" s="6">
        <f t="shared" si="10"/>
        <v>300.00025339937355</v>
      </c>
      <c r="H124" s="6">
        <f t="shared" si="10"/>
      </c>
    </row>
    <row r="125" spans="1:8" ht="12" customHeight="1">
      <c r="A125" s="82"/>
      <c r="B125" s="4">
        <v>50</v>
      </c>
      <c r="C125" s="5" t="s">
        <v>130</v>
      </c>
      <c r="D125" s="2" t="s">
        <v>201</v>
      </c>
      <c r="E125" s="6">
        <f t="shared" si="10"/>
      </c>
      <c r="F125" s="6">
        <f t="shared" si="10"/>
      </c>
      <c r="G125" s="6">
        <f t="shared" si="10"/>
        <v>240.00020271949882</v>
      </c>
      <c r="H125" s="6">
        <f t="shared" si="10"/>
      </c>
    </row>
    <row r="126" spans="1:8" ht="12" customHeight="1">
      <c r="A126" s="82"/>
      <c r="B126" s="4">
        <v>70</v>
      </c>
      <c r="C126" s="5" t="s">
        <v>130</v>
      </c>
      <c r="D126" s="2" t="s">
        <v>201</v>
      </c>
      <c r="E126" s="6">
        <f t="shared" si="10"/>
      </c>
      <c r="F126" s="6">
        <f t="shared" si="10"/>
      </c>
      <c r="G126" s="6">
        <f t="shared" si="10"/>
        <v>171.4287162282135</v>
      </c>
      <c r="H126" s="6">
        <f t="shared" si="10"/>
      </c>
    </row>
    <row r="127" spans="1:8" ht="12" customHeight="1">
      <c r="A127" s="82"/>
      <c r="B127" s="4">
        <v>100</v>
      </c>
      <c r="C127" s="5" t="s">
        <v>130</v>
      </c>
      <c r="D127" s="2" t="s">
        <v>201</v>
      </c>
      <c r="E127" s="6">
        <f t="shared" si="10"/>
      </c>
      <c r="F127" s="6">
        <f t="shared" si="10"/>
      </c>
      <c r="G127" s="6">
        <f t="shared" si="10"/>
        <v>120.00010135974941</v>
      </c>
      <c r="H127" s="6">
        <f t="shared" si="10"/>
      </c>
    </row>
    <row r="128" spans="1:8" ht="12" customHeight="1">
      <c r="A128" s="82"/>
      <c r="B128" s="4">
        <v>150</v>
      </c>
      <c r="C128" s="5" t="s">
        <v>130</v>
      </c>
      <c r="D128" s="2" t="s">
        <v>201</v>
      </c>
      <c r="E128" s="6">
        <f t="shared" si="10"/>
      </c>
      <c r="F128" s="6">
        <f t="shared" si="10"/>
      </c>
      <c r="G128" s="6">
        <f t="shared" si="10"/>
        <v>80.00006757316628</v>
      </c>
      <c r="H128" s="6">
        <f t="shared" si="10"/>
      </c>
    </row>
    <row r="129" spans="1:8" ht="12" customHeight="1">
      <c r="A129" s="82"/>
      <c r="B129" s="4">
        <v>200</v>
      </c>
      <c r="C129" s="5" t="s">
        <v>130</v>
      </c>
      <c r="D129" s="2" t="s">
        <v>201</v>
      </c>
      <c r="E129" s="6">
        <f t="shared" si="10"/>
      </c>
      <c r="F129" s="6">
        <f t="shared" si="10"/>
      </c>
      <c r="G129" s="6">
        <f t="shared" si="10"/>
        <v>60.000050679874704</v>
      </c>
      <c r="H129" s="6">
        <f t="shared" si="10"/>
      </c>
    </row>
    <row r="130" spans="1:8" ht="12" customHeight="1">
      <c r="A130" s="82"/>
      <c r="B130" s="4">
        <v>300</v>
      </c>
      <c r="C130" s="5" t="s">
        <v>130</v>
      </c>
      <c r="D130" s="2" t="s">
        <v>201</v>
      </c>
      <c r="E130" s="6">
        <f t="shared" si="10"/>
      </c>
      <c r="F130" s="6">
        <f t="shared" si="10"/>
      </c>
      <c r="G130" s="6">
        <f t="shared" si="10"/>
        <v>40.00003378658314</v>
      </c>
      <c r="H130" s="6">
        <f t="shared" si="10"/>
      </c>
    </row>
    <row r="131" spans="1:8" ht="12" customHeight="1">
      <c r="A131" s="82"/>
      <c r="B131" s="4">
        <v>400</v>
      </c>
      <c r="C131" s="5" t="s">
        <v>130</v>
      </c>
      <c r="D131" s="2" t="s">
        <v>201</v>
      </c>
      <c r="E131" s="6">
        <f t="shared" si="10"/>
      </c>
      <c r="F131" s="6">
        <f t="shared" si="10"/>
      </c>
      <c r="G131" s="6">
        <f t="shared" si="10"/>
        <v>30.000025339937352</v>
      </c>
      <c r="H131" s="6">
        <f t="shared" si="10"/>
      </c>
    </row>
    <row r="132" spans="1:8" ht="12" customHeight="1">
      <c r="A132" s="82"/>
      <c r="B132" s="4">
        <v>500</v>
      </c>
      <c r="C132" s="5" t="s">
        <v>130</v>
      </c>
      <c r="D132" s="2" t="s">
        <v>201</v>
      </c>
      <c r="E132" s="6">
        <f t="shared" si="10"/>
      </c>
      <c r="F132" s="6">
        <f t="shared" si="10"/>
      </c>
      <c r="G132" s="6">
        <f t="shared" si="10"/>
        <v>24.00002027194989</v>
      </c>
      <c r="H132" s="6">
        <f t="shared" si="10"/>
      </c>
    </row>
    <row r="133" spans="1:8" ht="12" customHeight="1">
      <c r="A133" s="82"/>
      <c r="B133" s="4">
        <v>700</v>
      </c>
      <c r="C133" s="5" t="s">
        <v>130</v>
      </c>
      <c r="D133" s="2" t="s">
        <v>201</v>
      </c>
      <c r="E133" s="6">
        <f t="shared" si="10"/>
      </c>
      <c r="F133" s="6">
        <f t="shared" si="10"/>
      </c>
      <c r="G133" s="6">
        <f t="shared" si="10"/>
        <v>17.142871622821346</v>
      </c>
      <c r="H133" s="6">
        <f t="shared" si="10"/>
      </c>
    </row>
    <row r="134" spans="1:8" ht="12" customHeight="1">
      <c r="A134" s="82"/>
      <c r="B134" s="4" t="s">
        <v>53</v>
      </c>
      <c r="C134" s="5" t="s">
        <v>130</v>
      </c>
      <c r="D134" s="2" t="s">
        <v>201</v>
      </c>
      <c r="E134" s="6">
        <f t="shared" si="10"/>
      </c>
      <c r="F134" s="6">
        <f t="shared" si="10"/>
      </c>
      <c r="G134" s="6">
        <f t="shared" si="10"/>
        <v>12.000010135974945</v>
      </c>
      <c r="H134" s="6">
        <f t="shared" si="10"/>
      </c>
    </row>
    <row r="135" spans="1:8" ht="12" customHeight="1">
      <c r="A135" s="82"/>
      <c r="B135" s="4" t="s">
        <v>54</v>
      </c>
      <c r="C135" s="5" t="s">
        <v>130</v>
      </c>
      <c r="D135" s="2" t="s">
        <v>201</v>
      </c>
      <c r="E135" s="6">
        <f t="shared" si="10"/>
      </c>
      <c r="F135" s="6">
        <f t="shared" si="10"/>
      </c>
      <c r="G135" s="6">
        <f t="shared" si="10"/>
        <v>8.000006757316628</v>
      </c>
      <c r="H135" s="6">
        <f t="shared" si="10"/>
      </c>
    </row>
    <row r="136" spans="1:8" ht="12" customHeight="1">
      <c r="A136" s="82"/>
      <c r="B136" s="4" t="s">
        <v>55</v>
      </c>
      <c r="C136" s="5" t="s">
        <v>130</v>
      </c>
      <c r="D136" s="2" t="s">
        <v>201</v>
      </c>
      <c r="E136" s="6">
        <f t="shared" si="10"/>
      </c>
      <c r="F136" s="6">
        <f t="shared" si="10"/>
      </c>
      <c r="G136" s="6">
        <f t="shared" si="10"/>
        <v>6.000005067987472</v>
      </c>
      <c r="H136" s="6">
        <f t="shared" si="10"/>
      </c>
    </row>
    <row r="137" spans="1:8" ht="12" customHeight="1">
      <c r="A137" s="82"/>
      <c r="B137" s="4" t="s">
        <v>56</v>
      </c>
      <c r="C137" s="5" t="s">
        <v>130</v>
      </c>
      <c r="D137" s="2" t="s">
        <v>201</v>
      </c>
      <c r="E137" s="6">
        <f t="shared" si="10"/>
      </c>
      <c r="F137" s="6">
        <f t="shared" si="10"/>
      </c>
      <c r="G137" s="6">
        <f t="shared" si="10"/>
        <v>4.000003378658314</v>
      </c>
      <c r="H137" s="6">
        <f t="shared" si="10"/>
      </c>
    </row>
    <row r="138" spans="1:8" ht="12" customHeight="1">
      <c r="A138" s="82"/>
      <c r="B138" s="4" t="s">
        <v>57</v>
      </c>
      <c r="C138" s="5" t="s">
        <v>130</v>
      </c>
      <c r="D138" s="2" t="s">
        <v>201</v>
      </c>
      <c r="E138" s="6">
        <f t="shared" si="10"/>
      </c>
      <c r="F138" s="6">
        <f t="shared" si="10"/>
      </c>
      <c r="G138" s="6">
        <f t="shared" si="10"/>
        <v>3.000002533993736</v>
      </c>
      <c r="H138" s="6">
        <f t="shared" si="10"/>
      </c>
    </row>
    <row r="139" spans="1:8" ht="12" customHeight="1">
      <c r="A139" s="82"/>
      <c r="B139" s="4" t="s">
        <v>58</v>
      </c>
      <c r="C139" s="5" t="s">
        <v>130</v>
      </c>
      <c r="D139" s="2" t="s">
        <v>201</v>
      </c>
      <c r="E139" s="6">
        <f t="shared" si="10"/>
      </c>
      <c r="F139" s="6">
        <f t="shared" si="10"/>
      </c>
      <c r="G139" s="6">
        <f t="shared" si="10"/>
        <v>2.4000020271949887</v>
      </c>
      <c r="H139" s="6">
        <f t="shared" si="10"/>
      </c>
    </row>
    <row r="140" spans="1:8" ht="12" customHeight="1">
      <c r="A140" s="82"/>
      <c r="B140" s="4" t="s">
        <v>59</v>
      </c>
      <c r="C140" s="5" t="s">
        <v>130</v>
      </c>
      <c r="D140" s="2" t="s">
        <v>201</v>
      </c>
      <c r="E140" s="6">
        <f t="shared" si="10"/>
      </c>
      <c r="F140" s="6">
        <f t="shared" si="10"/>
      </c>
      <c r="G140" s="6">
        <f t="shared" si="10"/>
        <v>1.7142871622821347</v>
      </c>
      <c r="H140" s="6">
        <f t="shared" si="10"/>
      </c>
    </row>
    <row r="141" spans="1:8" ht="12" customHeight="1">
      <c r="A141" s="82"/>
      <c r="B141" s="4" t="s">
        <v>60</v>
      </c>
      <c r="C141" s="5" t="s">
        <v>130</v>
      </c>
      <c r="D141" s="2" t="s">
        <v>201</v>
      </c>
      <c r="E141" s="6">
        <f t="shared" si="10"/>
      </c>
      <c r="F141" s="6">
        <f t="shared" si="10"/>
      </c>
      <c r="G141" s="6">
        <f t="shared" si="10"/>
        <v>1.2000010135974943</v>
      </c>
      <c r="H141" s="6">
        <f t="shared" si="10"/>
      </c>
    </row>
    <row r="142" spans="1:8" ht="12" customHeight="1">
      <c r="A142" s="82"/>
      <c r="B142" s="4" t="s">
        <v>61</v>
      </c>
      <c r="C142" s="5" t="s">
        <v>130</v>
      </c>
      <c r="D142" s="2" t="s">
        <v>201</v>
      </c>
      <c r="E142" s="6">
        <f t="shared" si="10"/>
      </c>
      <c r="F142" s="6">
        <f t="shared" si="10"/>
      </c>
      <c r="G142" s="6">
        <f t="shared" si="10"/>
        <v>0.8000006757316627</v>
      </c>
      <c r="H142" s="6">
        <f t="shared" si="10"/>
      </c>
    </row>
    <row r="143" spans="1:8" ht="12" customHeight="1">
      <c r="A143" s="83"/>
      <c r="B143" s="4" t="s">
        <v>62</v>
      </c>
      <c r="C143" s="5" t="s">
        <v>130</v>
      </c>
      <c r="D143" s="2" t="s">
        <v>201</v>
      </c>
      <c r="E143" s="6">
        <f t="shared" si="10"/>
      </c>
      <c r="F143" s="6">
        <f t="shared" si="10"/>
      </c>
      <c r="G143" s="6">
        <f t="shared" si="10"/>
        <v>0.6000005067987472</v>
      </c>
      <c r="H143" s="6">
        <f t="shared" si="10"/>
      </c>
    </row>
    <row r="144" spans="1:8" ht="12" customHeight="1">
      <c r="A144" s="81" t="s">
        <v>204</v>
      </c>
      <c r="B144" s="4">
        <v>20</v>
      </c>
      <c r="C144" s="5" t="s">
        <v>130</v>
      </c>
      <c r="D144" s="2" t="s">
        <v>201</v>
      </c>
      <c r="E144" s="6">
        <f aca="true" t="shared" si="11" ref="E144:H165">IF(E$24="","",2*3.14159*$B100*E$24*0.001)</f>
        <v>0.059999949320168104</v>
      </c>
      <c r="F144" s="6">
        <f t="shared" si="11"/>
      </c>
      <c r="G144" s="6">
        <f t="shared" si="11"/>
      </c>
      <c r="H144" s="6">
        <f t="shared" si="11"/>
      </c>
    </row>
    <row r="145" spans="1:8" ht="12" customHeight="1">
      <c r="A145" s="82"/>
      <c r="B145" s="4">
        <v>30</v>
      </c>
      <c r="C145" s="5" t="s">
        <v>130</v>
      </c>
      <c r="D145" s="2" t="s">
        <v>201</v>
      </c>
      <c r="E145" s="6">
        <f t="shared" si="11"/>
        <v>0.08999992398025215</v>
      </c>
      <c r="F145" s="6">
        <f t="shared" si="11"/>
      </c>
      <c r="G145" s="6">
        <f t="shared" si="11"/>
      </c>
      <c r="H145" s="6">
        <f t="shared" si="11"/>
      </c>
    </row>
    <row r="146" spans="1:8" ht="12" customHeight="1">
      <c r="A146" s="82"/>
      <c r="B146" s="4">
        <v>40</v>
      </c>
      <c r="C146" s="5" t="s">
        <v>130</v>
      </c>
      <c r="D146" s="2" t="s">
        <v>201</v>
      </c>
      <c r="E146" s="6">
        <f t="shared" si="11"/>
        <v>0.11999989864033621</v>
      </c>
      <c r="F146" s="6">
        <f t="shared" si="11"/>
      </c>
      <c r="G146" s="6">
        <f t="shared" si="11"/>
      </c>
      <c r="H146" s="6">
        <f t="shared" si="11"/>
      </c>
    </row>
    <row r="147" spans="1:8" ht="12" customHeight="1">
      <c r="A147" s="82"/>
      <c r="B147" s="4">
        <v>50</v>
      </c>
      <c r="C147" s="5" t="s">
        <v>130</v>
      </c>
      <c r="D147" s="2" t="s">
        <v>201</v>
      </c>
      <c r="E147" s="6">
        <f t="shared" si="11"/>
        <v>0.14999987330042028</v>
      </c>
      <c r="F147" s="6">
        <f t="shared" si="11"/>
      </c>
      <c r="G147" s="6">
        <f t="shared" si="11"/>
      </c>
      <c r="H147" s="6">
        <f t="shared" si="11"/>
      </c>
    </row>
    <row r="148" spans="1:8" ht="12" customHeight="1">
      <c r="A148" s="82"/>
      <c r="B148" s="4">
        <v>70</v>
      </c>
      <c r="C148" s="5" t="s">
        <v>130</v>
      </c>
      <c r="D148" s="2" t="s">
        <v>201</v>
      </c>
      <c r="E148" s="6">
        <f t="shared" si="11"/>
        <v>0.20999982262058833</v>
      </c>
      <c r="F148" s="6">
        <f t="shared" si="11"/>
      </c>
      <c r="G148" s="6">
        <f t="shared" si="11"/>
      </c>
      <c r="H148" s="6">
        <f t="shared" si="11"/>
      </c>
    </row>
    <row r="149" spans="1:8" ht="12" customHeight="1">
      <c r="A149" s="82"/>
      <c r="B149" s="4">
        <v>100</v>
      </c>
      <c r="C149" s="5" t="s">
        <v>130</v>
      </c>
      <c r="D149" s="2" t="s">
        <v>201</v>
      </c>
      <c r="E149" s="6">
        <f t="shared" si="11"/>
        <v>0.29999974660084056</v>
      </c>
      <c r="F149" s="6">
        <f t="shared" si="11"/>
      </c>
      <c r="G149" s="6">
        <f t="shared" si="11"/>
      </c>
      <c r="H149" s="6">
        <f t="shared" si="11"/>
      </c>
    </row>
    <row r="150" spans="1:8" ht="12" customHeight="1">
      <c r="A150" s="82"/>
      <c r="B150" s="4">
        <v>150</v>
      </c>
      <c r="C150" s="5" t="s">
        <v>130</v>
      </c>
      <c r="D150" s="2" t="s">
        <v>201</v>
      </c>
      <c r="E150" s="6">
        <f t="shared" si="11"/>
        <v>0.44999961990126075</v>
      </c>
      <c r="F150" s="6">
        <f t="shared" si="11"/>
      </c>
      <c r="G150" s="6">
        <f t="shared" si="11"/>
      </c>
      <c r="H150" s="6">
        <f t="shared" si="11"/>
      </c>
    </row>
    <row r="151" spans="1:8" ht="12" customHeight="1">
      <c r="A151" s="82"/>
      <c r="B151" s="4">
        <v>200</v>
      </c>
      <c r="C151" s="5" t="s">
        <v>130</v>
      </c>
      <c r="D151" s="2" t="s">
        <v>201</v>
      </c>
      <c r="E151" s="6">
        <f t="shared" si="11"/>
        <v>0.5999994932016811</v>
      </c>
      <c r="F151" s="6">
        <f t="shared" si="11"/>
      </c>
      <c r="G151" s="6">
        <f t="shared" si="11"/>
      </c>
      <c r="H151" s="6">
        <f t="shared" si="11"/>
      </c>
    </row>
    <row r="152" spans="1:8" ht="12" customHeight="1">
      <c r="A152" s="82"/>
      <c r="B152" s="4">
        <v>300</v>
      </c>
      <c r="C152" s="5" t="s">
        <v>130</v>
      </c>
      <c r="D152" s="2" t="s">
        <v>201</v>
      </c>
      <c r="E152" s="6">
        <f t="shared" si="11"/>
        <v>0.8999992398025215</v>
      </c>
      <c r="F152" s="6">
        <f t="shared" si="11"/>
      </c>
      <c r="G152" s="6">
        <f t="shared" si="11"/>
      </c>
      <c r="H152" s="6">
        <f t="shared" si="11"/>
      </c>
    </row>
    <row r="153" spans="1:8" ht="12" customHeight="1">
      <c r="A153" s="82"/>
      <c r="B153" s="4">
        <v>400</v>
      </c>
      <c r="C153" s="5" t="s">
        <v>130</v>
      </c>
      <c r="D153" s="2" t="s">
        <v>201</v>
      </c>
      <c r="E153" s="6">
        <f t="shared" si="11"/>
        <v>1.1999989864033622</v>
      </c>
      <c r="F153" s="6">
        <f t="shared" si="11"/>
      </c>
      <c r="G153" s="6">
        <f t="shared" si="11"/>
      </c>
      <c r="H153" s="6">
        <f t="shared" si="11"/>
      </c>
    </row>
    <row r="154" spans="1:8" ht="12" customHeight="1">
      <c r="A154" s="82"/>
      <c r="B154" s="4">
        <v>500</v>
      </c>
      <c r="C154" s="5" t="s">
        <v>130</v>
      </c>
      <c r="D154" s="2" t="s">
        <v>201</v>
      </c>
      <c r="E154" s="6">
        <f t="shared" si="11"/>
        <v>1.4999987330042024</v>
      </c>
      <c r="F154" s="6">
        <f t="shared" si="11"/>
      </c>
      <c r="G154" s="6">
        <f t="shared" si="11"/>
      </c>
      <c r="H154" s="6">
        <f t="shared" si="11"/>
      </c>
    </row>
    <row r="155" spans="1:8" ht="12" customHeight="1">
      <c r="A155" s="82"/>
      <c r="B155" s="4">
        <v>700</v>
      </c>
      <c r="C155" s="5" t="s">
        <v>130</v>
      </c>
      <c r="D155" s="2" t="s">
        <v>201</v>
      </c>
      <c r="E155" s="6">
        <f t="shared" si="11"/>
        <v>2.0999982262058836</v>
      </c>
      <c r="F155" s="6">
        <f t="shared" si="11"/>
      </c>
      <c r="G155" s="6">
        <f t="shared" si="11"/>
      </c>
      <c r="H155" s="6">
        <f t="shared" si="11"/>
      </c>
    </row>
    <row r="156" spans="1:8" ht="12" customHeight="1">
      <c r="A156" s="82"/>
      <c r="B156" s="4" t="s">
        <v>53</v>
      </c>
      <c r="C156" s="5" t="s">
        <v>130</v>
      </c>
      <c r="D156" s="2" t="s">
        <v>201</v>
      </c>
      <c r="E156" s="6">
        <f t="shared" si="11"/>
        <v>2.999997466008405</v>
      </c>
      <c r="F156" s="6">
        <f t="shared" si="11"/>
      </c>
      <c r="G156" s="6">
        <f t="shared" si="11"/>
      </c>
      <c r="H156" s="6">
        <f t="shared" si="11"/>
      </c>
    </row>
    <row r="157" spans="1:8" ht="12" customHeight="1">
      <c r="A157" s="82"/>
      <c r="B157" s="4" t="s">
        <v>54</v>
      </c>
      <c r="C157" s="5" t="s">
        <v>130</v>
      </c>
      <c r="D157" s="2" t="s">
        <v>201</v>
      </c>
      <c r="E157" s="6">
        <f t="shared" si="11"/>
        <v>4.499996199012608</v>
      </c>
      <c r="F157" s="6">
        <f t="shared" si="11"/>
      </c>
      <c r="G157" s="6">
        <f t="shared" si="11"/>
      </c>
      <c r="H157" s="6">
        <f t="shared" si="11"/>
      </c>
    </row>
    <row r="158" spans="1:8" ht="12" customHeight="1">
      <c r="A158" s="82"/>
      <c r="B158" s="4" t="s">
        <v>55</v>
      </c>
      <c r="C158" s="5" t="s">
        <v>130</v>
      </c>
      <c r="D158" s="2" t="s">
        <v>201</v>
      </c>
      <c r="E158" s="6">
        <f t="shared" si="11"/>
        <v>5.99999493201681</v>
      </c>
      <c r="F158" s="6">
        <f t="shared" si="11"/>
      </c>
      <c r="G158" s="6">
        <f t="shared" si="11"/>
      </c>
      <c r="H158" s="6">
        <f t="shared" si="11"/>
      </c>
    </row>
    <row r="159" spans="1:8" ht="12" customHeight="1">
      <c r="A159" s="82"/>
      <c r="B159" s="4" t="s">
        <v>56</v>
      </c>
      <c r="C159" s="5" t="s">
        <v>130</v>
      </c>
      <c r="D159" s="2" t="s">
        <v>201</v>
      </c>
      <c r="E159" s="6">
        <f t="shared" si="11"/>
        <v>8.999992398025215</v>
      </c>
      <c r="F159" s="6">
        <f t="shared" si="11"/>
      </c>
      <c r="G159" s="6">
        <f t="shared" si="11"/>
      </c>
      <c r="H159" s="6">
        <f t="shared" si="11"/>
      </c>
    </row>
    <row r="160" spans="1:8" ht="12" customHeight="1">
      <c r="A160" s="82"/>
      <c r="B160" s="4" t="s">
        <v>57</v>
      </c>
      <c r="C160" s="5" t="s">
        <v>130</v>
      </c>
      <c r="D160" s="2" t="s">
        <v>201</v>
      </c>
      <c r="E160" s="6">
        <f t="shared" si="11"/>
        <v>11.99998986403362</v>
      </c>
      <c r="F160" s="6">
        <f t="shared" si="11"/>
      </c>
      <c r="G160" s="6">
        <f t="shared" si="11"/>
      </c>
      <c r="H160" s="6">
        <f t="shared" si="11"/>
      </c>
    </row>
    <row r="161" spans="1:8" ht="12" customHeight="1">
      <c r="A161" s="82"/>
      <c r="B161" s="4" t="s">
        <v>58</v>
      </c>
      <c r="C161" s="5" t="s">
        <v>130</v>
      </c>
      <c r="D161" s="2" t="s">
        <v>201</v>
      </c>
      <c r="E161" s="6">
        <f t="shared" si="11"/>
        <v>14.999987330042025</v>
      </c>
      <c r="F161" s="6">
        <f t="shared" si="11"/>
      </c>
      <c r="G161" s="6">
        <f t="shared" si="11"/>
      </c>
      <c r="H161" s="6">
        <f t="shared" si="11"/>
      </c>
    </row>
    <row r="162" spans="1:8" ht="12" customHeight="1">
      <c r="A162" s="82"/>
      <c r="B162" s="4" t="s">
        <v>59</v>
      </c>
      <c r="C162" s="5" t="s">
        <v>130</v>
      </c>
      <c r="D162" s="2" t="s">
        <v>201</v>
      </c>
      <c r="E162" s="6">
        <f t="shared" si="11"/>
        <v>20.999982262058836</v>
      </c>
      <c r="F162" s="6">
        <f t="shared" si="11"/>
      </c>
      <c r="G162" s="6">
        <f t="shared" si="11"/>
      </c>
      <c r="H162" s="6">
        <f t="shared" si="11"/>
      </c>
    </row>
    <row r="163" spans="1:8" ht="12" customHeight="1">
      <c r="A163" s="82"/>
      <c r="B163" s="4" t="s">
        <v>60</v>
      </c>
      <c r="C163" s="5" t="s">
        <v>130</v>
      </c>
      <c r="D163" s="2" t="s">
        <v>201</v>
      </c>
      <c r="E163" s="6">
        <f t="shared" si="11"/>
        <v>29.99997466008405</v>
      </c>
      <c r="F163" s="6">
        <f t="shared" si="11"/>
      </c>
      <c r="G163" s="6">
        <f t="shared" si="11"/>
      </c>
      <c r="H163" s="6">
        <f t="shared" si="11"/>
      </c>
    </row>
    <row r="164" spans="1:8" ht="12" customHeight="1">
      <c r="A164" s="82"/>
      <c r="B164" s="4" t="s">
        <v>61</v>
      </c>
      <c r="C164" s="5" t="s">
        <v>130</v>
      </c>
      <c r="D164" s="2" t="s">
        <v>201</v>
      </c>
      <c r="E164" s="6">
        <f t="shared" si="11"/>
        <v>44.999961990126074</v>
      </c>
      <c r="F164" s="6">
        <f t="shared" si="11"/>
      </c>
      <c r="G164" s="6">
        <f t="shared" si="11"/>
      </c>
      <c r="H164" s="6">
        <f t="shared" si="11"/>
      </c>
    </row>
    <row r="165" spans="1:8" ht="12" customHeight="1">
      <c r="A165" s="83"/>
      <c r="B165" s="4" t="s">
        <v>62</v>
      </c>
      <c r="C165" s="5" t="s">
        <v>130</v>
      </c>
      <c r="D165" s="2" t="s">
        <v>201</v>
      </c>
      <c r="E165" s="6">
        <f t="shared" si="11"/>
        <v>59.9999493201681</v>
      </c>
      <c r="F165" s="6">
        <f t="shared" si="11"/>
      </c>
      <c r="G165" s="6">
        <f t="shared" si="11"/>
      </c>
      <c r="H165" s="6">
        <f t="shared" si="11"/>
      </c>
    </row>
    <row r="166" spans="1:8" ht="12" customHeight="1">
      <c r="A166" s="81" t="s">
        <v>205</v>
      </c>
      <c r="B166" s="4">
        <v>20</v>
      </c>
      <c r="C166" s="5" t="s">
        <v>130</v>
      </c>
      <c r="D166" s="2" t="s">
        <v>201</v>
      </c>
      <c r="E166" s="6">
        <f aca="true" t="shared" si="12" ref="E166:H187">IF(E$25="","",1/(2*3.14159*$B100*E$25/1000000))</f>
        <v>600.0005067987471</v>
      </c>
      <c r="F166" s="6">
        <f t="shared" si="12"/>
      </c>
      <c r="G166" s="6">
        <f t="shared" si="12"/>
      </c>
      <c r="H166" s="6">
        <f t="shared" si="12"/>
      </c>
    </row>
    <row r="167" spans="1:8" ht="12" customHeight="1">
      <c r="A167" s="82"/>
      <c r="B167" s="4">
        <v>30</v>
      </c>
      <c r="C167" s="5" t="s">
        <v>130</v>
      </c>
      <c r="D167" s="2" t="s">
        <v>201</v>
      </c>
      <c r="E167" s="6">
        <f t="shared" si="12"/>
        <v>400.0003378658314</v>
      </c>
      <c r="F167" s="6">
        <f t="shared" si="12"/>
      </c>
      <c r="G167" s="6">
        <f t="shared" si="12"/>
      </c>
      <c r="H167" s="6">
        <f t="shared" si="12"/>
      </c>
    </row>
    <row r="168" spans="1:8" ht="12" customHeight="1">
      <c r="A168" s="82"/>
      <c r="B168" s="4">
        <v>40</v>
      </c>
      <c r="C168" s="5" t="s">
        <v>130</v>
      </c>
      <c r="D168" s="2" t="s">
        <v>201</v>
      </c>
      <c r="E168" s="6">
        <f t="shared" si="12"/>
        <v>300.00025339937355</v>
      </c>
      <c r="F168" s="6">
        <f t="shared" si="12"/>
      </c>
      <c r="G168" s="6">
        <f t="shared" si="12"/>
      </c>
      <c r="H168" s="6">
        <f t="shared" si="12"/>
      </c>
    </row>
    <row r="169" spans="1:8" ht="12" customHeight="1">
      <c r="A169" s="82"/>
      <c r="B169" s="4">
        <v>50</v>
      </c>
      <c r="C169" s="5" t="s">
        <v>130</v>
      </c>
      <c r="D169" s="2" t="s">
        <v>201</v>
      </c>
      <c r="E169" s="6">
        <f t="shared" si="12"/>
        <v>240.00020271949882</v>
      </c>
      <c r="F169" s="6">
        <f t="shared" si="12"/>
      </c>
      <c r="G169" s="6">
        <f t="shared" si="12"/>
      </c>
      <c r="H169" s="6">
        <f t="shared" si="12"/>
      </c>
    </row>
    <row r="170" spans="1:8" ht="12" customHeight="1">
      <c r="A170" s="82"/>
      <c r="B170" s="4">
        <v>70</v>
      </c>
      <c r="C170" s="5" t="s">
        <v>130</v>
      </c>
      <c r="D170" s="2" t="s">
        <v>201</v>
      </c>
      <c r="E170" s="6">
        <f t="shared" si="12"/>
        <v>171.4287162282135</v>
      </c>
      <c r="F170" s="6">
        <f t="shared" si="12"/>
      </c>
      <c r="G170" s="6">
        <f t="shared" si="12"/>
      </c>
      <c r="H170" s="6">
        <f t="shared" si="12"/>
      </c>
    </row>
    <row r="171" spans="1:8" ht="12" customHeight="1">
      <c r="A171" s="82"/>
      <c r="B171" s="4">
        <v>100</v>
      </c>
      <c r="C171" s="5" t="s">
        <v>130</v>
      </c>
      <c r="D171" s="2" t="s">
        <v>201</v>
      </c>
      <c r="E171" s="6">
        <f t="shared" si="12"/>
        <v>120.00010135974941</v>
      </c>
      <c r="F171" s="6">
        <f t="shared" si="12"/>
      </c>
      <c r="G171" s="6">
        <f t="shared" si="12"/>
      </c>
      <c r="H171" s="6">
        <f t="shared" si="12"/>
      </c>
    </row>
    <row r="172" spans="1:8" ht="12" customHeight="1">
      <c r="A172" s="82"/>
      <c r="B172" s="4">
        <v>150</v>
      </c>
      <c r="C172" s="5" t="s">
        <v>130</v>
      </c>
      <c r="D172" s="2" t="s">
        <v>201</v>
      </c>
      <c r="E172" s="6">
        <f t="shared" si="12"/>
        <v>80.00006757316628</v>
      </c>
      <c r="F172" s="6">
        <f t="shared" si="12"/>
      </c>
      <c r="G172" s="6">
        <f t="shared" si="12"/>
      </c>
      <c r="H172" s="6">
        <f t="shared" si="12"/>
      </c>
    </row>
    <row r="173" spans="1:8" ht="12" customHeight="1">
      <c r="A173" s="82"/>
      <c r="B173" s="4">
        <v>200</v>
      </c>
      <c r="C173" s="5" t="s">
        <v>130</v>
      </c>
      <c r="D173" s="2" t="s">
        <v>201</v>
      </c>
      <c r="E173" s="6">
        <f t="shared" si="12"/>
        <v>60.000050679874704</v>
      </c>
      <c r="F173" s="6">
        <f t="shared" si="12"/>
      </c>
      <c r="G173" s="6">
        <f t="shared" si="12"/>
      </c>
      <c r="H173" s="6">
        <f t="shared" si="12"/>
      </c>
    </row>
    <row r="174" spans="1:8" ht="12" customHeight="1">
      <c r="A174" s="82"/>
      <c r="B174" s="4">
        <v>300</v>
      </c>
      <c r="C174" s="5" t="s">
        <v>130</v>
      </c>
      <c r="D174" s="2" t="s">
        <v>201</v>
      </c>
      <c r="E174" s="6">
        <f t="shared" si="12"/>
        <v>40.00003378658314</v>
      </c>
      <c r="F174" s="6">
        <f t="shared" si="12"/>
      </c>
      <c r="G174" s="6">
        <f t="shared" si="12"/>
      </c>
      <c r="H174" s="6">
        <f t="shared" si="12"/>
      </c>
    </row>
    <row r="175" spans="1:8" ht="12" customHeight="1">
      <c r="A175" s="82"/>
      <c r="B175" s="4">
        <v>400</v>
      </c>
      <c r="C175" s="5" t="s">
        <v>130</v>
      </c>
      <c r="D175" s="2" t="s">
        <v>201</v>
      </c>
      <c r="E175" s="6">
        <f t="shared" si="12"/>
        <v>30.000025339937352</v>
      </c>
      <c r="F175" s="6">
        <f t="shared" si="12"/>
      </c>
      <c r="G175" s="6">
        <f t="shared" si="12"/>
      </c>
      <c r="H175" s="6">
        <f t="shared" si="12"/>
      </c>
    </row>
    <row r="176" spans="1:8" ht="12" customHeight="1">
      <c r="A176" s="82"/>
      <c r="B176" s="4">
        <v>500</v>
      </c>
      <c r="C176" s="5" t="s">
        <v>130</v>
      </c>
      <c r="D176" s="2" t="s">
        <v>201</v>
      </c>
      <c r="E176" s="6">
        <f t="shared" si="12"/>
        <v>24.00002027194989</v>
      </c>
      <c r="F176" s="6">
        <f t="shared" si="12"/>
      </c>
      <c r="G176" s="6">
        <f t="shared" si="12"/>
      </c>
      <c r="H176" s="6">
        <f t="shared" si="12"/>
      </c>
    </row>
    <row r="177" spans="1:8" ht="12" customHeight="1">
      <c r="A177" s="82"/>
      <c r="B177" s="4">
        <v>700</v>
      </c>
      <c r="C177" s="5" t="s">
        <v>130</v>
      </c>
      <c r="D177" s="2" t="s">
        <v>201</v>
      </c>
      <c r="E177" s="6">
        <f t="shared" si="12"/>
        <v>17.142871622821346</v>
      </c>
      <c r="F177" s="6">
        <f t="shared" si="12"/>
      </c>
      <c r="G177" s="6">
        <f t="shared" si="12"/>
      </c>
      <c r="H177" s="6">
        <f t="shared" si="12"/>
      </c>
    </row>
    <row r="178" spans="1:8" ht="12" customHeight="1">
      <c r="A178" s="82"/>
      <c r="B178" s="4" t="s">
        <v>53</v>
      </c>
      <c r="C178" s="5" t="s">
        <v>130</v>
      </c>
      <c r="D178" s="2" t="s">
        <v>201</v>
      </c>
      <c r="E178" s="6">
        <f t="shared" si="12"/>
        <v>12.000010135974945</v>
      </c>
      <c r="F178" s="6">
        <f t="shared" si="12"/>
      </c>
      <c r="G178" s="6">
        <f t="shared" si="12"/>
      </c>
      <c r="H178" s="6">
        <f t="shared" si="12"/>
      </c>
    </row>
    <row r="179" spans="1:8" ht="12" customHeight="1">
      <c r="A179" s="82"/>
      <c r="B179" s="4" t="s">
        <v>54</v>
      </c>
      <c r="C179" s="5" t="s">
        <v>130</v>
      </c>
      <c r="D179" s="2" t="s">
        <v>201</v>
      </c>
      <c r="E179" s="6">
        <f t="shared" si="12"/>
        <v>8.000006757316628</v>
      </c>
      <c r="F179" s="6">
        <f t="shared" si="12"/>
      </c>
      <c r="G179" s="6">
        <f t="shared" si="12"/>
      </c>
      <c r="H179" s="6">
        <f t="shared" si="12"/>
      </c>
    </row>
    <row r="180" spans="1:8" ht="12" customHeight="1">
      <c r="A180" s="82"/>
      <c r="B180" s="4" t="s">
        <v>55</v>
      </c>
      <c r="C180" s="5" t="s">
        <v>130</v>
      </c>
      <c r="D180" s="2" t="s">
        <v>201</v>
      </c>
      <c r="E180" s="6">
        <f t="shared" si="12"/>
        <v>6.000005067987472</v>
      </c>
      <c r="F180" s="6">
        <f t="shared" si="12"/>
      </c>
      <c r="G180" s="6">
        <f t="shared" si="12"/>
      </c>
      <c r="H180" s="6">
        <f t="shared" si="12"/>
      </c>
    </row>
    <row r="181" spans="1:8" ht="12" customHeight="1">
      <c r="A181" s="82"/>
      <c r="B181" s="4" t="s">
        <v>56</v>
      </c>
      <c r="C181" s="5" t="s">
        <v>130</v>
      </c>
      <c r="D181" s="2" t="s">
        <v>201</v>
      </c>
      <c r="E181" s="6">
        <f t="shared" si="12"/>
        <v>4.000003378658314</v>
      </c>
      <c r="F181" s="6">
        <f t="shared" si="12"/>
      </c>
      <c r="G181" s="6">
        <f t="shared" si="12"/>
      </c>
      <c r="H181" s="6">
        <f t="shared" si="12"/>
      </c>
    </row>
    <row r="182" spans="1:8" ht="12" customHeight="1">
      <c r="A182" s="82"/>
      <c r="B182" s="4" t="s">
        <v>57</v>
      </c>
      <c r="C182" s="5" t="s">
        <v>130</v>
      </c>
      <c r="D182" s="2" t="s">
        <v>201</v>
      </c>
      <c r="E182" s="6">
        <f t="shared" si="12"/>
        <v>3.000002533993736</v>
      </c>
      <c r="F182" s="6">
        <f t="shared" si="12"/>
      </c>
      <c r="G182" s="6">
        <f t="shared" si="12"/>
      </c>
      <c r="H182" s="6">
        <f t="shared" si="12"/>
      </c>
    </row>
    <row r="183" spans="1:8" ht="12" customHeight="1">
      <c r="A183" s="82"/>
      <c r="B183" s="4" t="s">
        <v>58</v>
      </c>
      <c r="C183" s="5" t="s">
        <v>130</v>
      </c>
      <c r="D183" s="2" t="s">
        <v>201</v>
      </c>
      <c r="E183" s="6">
        <f t="shared" si="12"/>
        <v>2.4000020271949887</v>
      </c>
      <c r="F183" s="6">
        <f t="shared" si="12"/>
      </c>
      <c r="G183" s="6">
        <f t="shared" si="12"/>
      </c>
      <c r="H183" s="6">
        <f t="shared" si="12"/>
      </c>
    </row>
    <row r="184" spans="1:8" ht="12" customHeight="1">
      <c r="A184" s="82"/>
      <c r="B184" s="4" t="s">
        <v>59</v>
      </c>
      <c r="C184" s="5" t="s">
        <v>130</v>
      </c>
      <c r="D184" s="2" t="s">
        <v>201</v>
      </c>
      <c r="E184" s="6">
        <f t="shared" si="12"/>
        <v>1.7142871622821347</v>
      </c>
      <c r="F184" s="6">
        <f t="shared" si="12"/>
      </c>
      <c r="G184" s="6">
        <f t="shared" si="12"/>
      </c>
      <c r="H184" s="6">
        <f t="shared" si="12"/>
      </c>
    </row>
    <row r="185" spans="1:8" ht="12" customHeight="1">
      <c r="A185" s="82"/>
      <c r="B185" s="4" t="s">
        <v>60</v>
      </c>
      <c r="C185" s="5" t="s">
        <v>130</v>
      </c>
      <c r="D185" s="2" t="s">
        <v>201</v>
      </c>
      <c r="E185" s="6">
        <f t="shared" si="12"/>
        <v>1.2000010135974943</v>
      </c>
      <c r="F185" s="6">
        <f t="shared" si="12"/>
      </c>
      <c r="G185" s="6">
        <f t="shared" si="12"/>
      </c>
      <c r="H185" s="6">
        <f t="shared" si="12"/>
      </c>
    </row>
    <row r="186" spans="1:8" ht="12" customHeight="1">
      <c r="A186" s="82"/>
      <c r="B186" s="4" t="s">
        <v>61</v>
      </c>
      <c r="C186" s="5" t="s">
        <v>130</v>
      </c>
      <c r="D186" s="2" t="s">
        <v>201</v>
      </c>
      <c r="E186" s="6">
        <f t="shared" si="12"/>
        <v>0.8000006757316627</v>
      </c>
      <c r="F186" s="6">
        <f t="shared" si="12"/>
      </c>
      <c r="G186" s="6">
        <f t="shared" si="12"/>
      </c>
      <c r="H186" s="6">
        <f t="shared" si="12"/>
      </c>
    </row>
    <row r="187" spans="1:8" ht="12" customHeight="1">
      <c r="A187" s="83"/>
      <c r="B187" s="4" t="s">
        <v>62</v>
      </c>
      <c r="C187" s="5" t="s">
        <v>130</v>
      </c>
      <c r="D187" s="2" t="s">
        <v>201</v>
      </c>
      <c r="E187" s="6">
        <f t="shared" si="12"/>
        <v>0.6000005067987472</v>
      </c>
      <c r="F187" s="6">
        <f t="shared" si="12"/>
      </c>
      <c r="G187" s="6">
        <f t="shared" si="12"/>
      </c>
      <c r="H187" s="6">
        <f t="shared" si="12"/>
      </c>
    </row>
  </sheetData>
  <sheetProtection password="BF23" sheet="1" objects="1" scenarios="1"/>
  <mergeCells count="14">
    <mergeCell ref="A24:A25"/>
    <mergeCell ref="A1:F1"/>
    <mergeCell ref="B16:C16"/>
    <mergeCell ref="A144:A165"/>
    <mergeCell ref="A22:A23"/>
    <mergeCell ref="B19:D19"/>
    <mergeCell ref="B28:D28"/>
    <mergeCell ref="A166:A187"/>
    <mergeCell ref="A26:A33"/>
    <mergeCell ref="A56:A77"/>
    <mergeCell ref="A34:A55"/>
    <mergeCell ref="A100:A121"/>
    <mergeCell ref="A122:A143"/>
    <mergeCell ref="A78:A99"/>
  </mergeCells>
  <conditionalFormatting sqref="E19:H19">
    <cfRule type="cellIs" priority="1" dxfId="0" operator="notBetween" stopIfTrue="1">
      <formula>0</formula>
      <formula>1</formula>
    </cfRule>
  </conditionalFormatting>
  <conditionalFormatting sqref="E28:H28">
    <cfRule type="cellIs" priority="2" dxfId="0" operator="notBetween" stopIfTrue="1">
      <formula>0</formula>
      <formula>2</formula>
    </cfRule>
  </conditionalFormatting>
  <printOptions horizontalCentered="1"/>
  <pageMargins left="0.7874015748031497" right="0.3937007874015748" top="0.7874015748031497" bottom="0.3937007874015748" header="0.2755905511811024" footer="0.31496062992125984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87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19.375" style="0" customWidth="1"/>
    <col min="2" max="2" width="14.125" style="0" customWidth="1"/>
    <col min="3" max="4" width="5.875" style="0" customWidth="1"/>
    <col min="5" max="16" width="11.125" style="0" customWidth="1"/>
  </cols>
  <sheetData>
    <row r="1" spans="1:9" ht="15" customHeight="1">
      <c r="A1" s="103" t="s">
        <v>207</v>
      </c>
      <c r="B1" s="104"/>
      <c r="C1" s="104"/>
      <c r="D1" s="104"/>
      <c r="E1" s="104"/>
      <c r="F1" s="105"/>
      <c r="G1" s="34" t="s">
        <v>150</v>
      </c>
      <c r="H1" s="35" t="s">
        <v>149</v>
      </c>
      <c r="I1" s="65" t="s">
        <v>135</v>
      </c>
    </row>
    <row r="2" spans="1:16" ht="15" customHeight="1">
      <c r="A2" s="24"/>
      <c r="B2" s="25"/>
      <c r="C2" s="25"/>
      <c r="D2" s="25"/>
      <c r="E2" s="25"/>
      <c r="F2" s="25"/>
      <c r="G2" s="25"/>
      <c r="H2" s="26"/>
      <c r="I2" s="66" t="s">
        <v>199</v>
      </c>
      <c r="J2" s="1"/>
      <c r="K2" s="1"/>
      <c r="L2" s="1"/>
      <c r="M2" s="1"/>
      <c r="N2" s="1"/>
      <c r="O2" s="1"/>
      <c r="P2" s="1"/>
    </row>
    <row r="3" spans="1:16" ht="15" customHeight="1">
      <c r="A3" s="27"/>
      <c r="B3" s="28"/>
      <c r="C3" s="28"/>
      <c r="D3" s="28"/>
      <c r="E3" s="28"/>
      <c r="F3" s="28"/>
      <c r="G3" s="28"/>
      <c r="H3" s="29"/>
      <c r="I3" s="1" t="s">
        <v>195</v>
      </c>
      <c r="J3" s="1"/>
      <c r="K3" s="1"/>
      <c r="L3" s="1"/>
      <c r="M3" s="1"/>
      <c r="N3" s="1"/>
      <c r="O3" s="1"/>
      <c r="P3" s="1"/>
    </row>
    <row r="4" spans="1:16" ht="15" customHeight="1">
      <c r="A4" s="27"/>
      <c r="B4" s="28"/>
      <c r="C4" s="28"/>
      <c r="D4" s="28"/>
      <c r="E4" s="28"/>
      <c r="F4" s="28"/>
      <c r="G4" s="28"/>
      <c r="H4" s="29"/>
      <c r="I4" s="1" t="s">
        <v>196</v>
      </c>
      <c r="J4" s="1"/>
      <c r="K4" s="1"/>
      <c r="L4" s="1"/>
      <c r="M4" s="1"/>
      <c r="N4" s="1"/>
      <c r="O4" s="1"/>
      <c r="P4" s="1"/>
    </row>
    <row r="5" spans="1:16" ht="15" customHeight="1">
      <c r="A5" s="27"/>
      <c r="B5" s="28"/>
      <c r="C5" s="28"/>
      <c r="D5" s="28"/>
      <c r="E5" s="28"/>
      <c r="F5" s="28"/>
      <c r="G5" s="28"/>
      <c r="H5" s="29"/>
      <c r="I5" s="1" t="s">
        <v>197</v>
      </c>
      <c r="J5" s="1"/>
      <c r="K5" s="1"/>
      <c r="L5" s="1"/>
      <c r="M5" s="1"/>
      <c r="N5" s="1"/>
      <c r="O5" s="1"/>
      <c r="P5" s="1"/>
    </row>
    <row r="6" spans="1:16" ht="15" customHeight="1">
      <c r="A6" s="27"/>
      <c r="B6" s="28"/>
      <c r="C6" s="28"/>
      <c r="D6" s="28"/>
      <c r="E6" s="28"/>
      <c r="F6" s="28"/>
      <c r="G6" s="28"/>
      <c r="H6" s="29"/>
      <c r="I6" s="1" t="s">
        <v>198</v>
      </c>
      <c r="J6" s="1"/>
      <c r="K6" s="1"/>
      <c r="L6" s="1"/>
      <c r="M6" s="1"/>
      <c r="N6" s="1"/>
      <c r="O6" s="1"/>
      <c r="P6" s="1"/>
    </row>
    <row r="7" spans="1:16" ht="15" customHeight="1">
      <c r="A7" s="27"/>
      <c r="B7" s="28"/>
      <c r="C7" s="28"/>
      <c r="D7" s="28"/>
      <c r="E7" s="28"/>
      <c r="F7" s="28"/>
      <c r="G7" s="28"/>
      <c r="H7" s="29"/>
      <c r="I7" s="134" t="s">
        <v>226</v>
      </c>
      <c r="J7" s="1"/>
      <c r="K7" s="1"/>
      <c r="L7" s="1"/>
      <c r="M7" s="1"/>
      <c r="N7" s="1"/>
      <c r="O7" s="1"/>
      <c r="P7" s="1"/>
    </row>
    <row r="8" spans="1:16" ht="15" customHeight="1">
      <c r="A8" s="27"/>
      <c r="B8" s="28"/>
      <c r="C8" s="28"/>
      <c r="D8" s="28"/>
      <c r="E8" s="28"/>
      <c r="F8" s="28"/>
      <c r="G8" s="28"/>
      <c r="H8" s="29"/>
      <c r="I8" s="133" t="s">
        <v>227</v>
      </c>
      <c r="J8" s="1"/>
      <c r="K8" s="1"/>
      <c r="L8" s="1"/>
      <c r="M8" s="1"/>
      <c r="N8" s="1"/>
      <c r="O8" s="1"/>
      <c r="P8" s="1"/>
    </row>
    <row r="9" spans="1:16" ht="15" customHeight="1">
      <c r="A9" s="27"/>
      <c r="B9" s="28"/>
      <c r="C9" s="28"/>
      <c r="D9" s="28"/>
      <c r="E9" s="28"/>
      <c r="F9" s="28"/>
      <c r="G9" s="28"/>
      <c r="H9" s="29"/>
      <c r="I9" s="133" t="s">
        <v>228</v>
      </c>
      <c r="J9" s="1"/>
      <c r="K9" s="1"/>
      <c r="L9" s="1"/>
      <c r="M9" s="1"/>
      <c r="N9" s="1"/>
      <c r="O9" s="1"/>
      <c r="P9" s="1"/>
    </row>
    <row r="10" spans="1:16" ht="15" customHeight="1">
      <c r="A10" s="27"/>
      <c r="B10" s="28"/>
      <c r="C10" s="28"/>
      <c r="D10" s="28"/>
      <c r="E10" s="28"/>
      <c r="F10" s="28"/>
      <c r="G10" s="28"/>
      <c r="H10" s="29"/>
      <c r="I10" s="133" t="s">
        <v>229</v>
      </c>
      <c r="J10" s="1"/>
      <c r="K10" s="1"/>
      <c r="L10" s="1"/>
      <c r="M10" s="1"/>
      <c r="N10" s="1"/>
      <c r="O10" s="1"/>
      <c r="P10" s="1"/>
    </row>
    <row r="11" spans="1:16" ht="15" customHeight="1">
      <c r="A11" s="27"/>
      <c r="B11" s="28"/>
      <c r="C11" s="28"/>
      <c r="D11" s="28"/>
      <c r="E11" s="28"/>
      <c r="F11" s="28"/>
      <c r="G11" s="28"/>
      <c r="H11" s="29"/>
      <c r="I11" s="133" t="s">
        <v>230</v>
      </c>
      <c r="J11" s="1"/>
      <c r="K11" s="1"/>
      <c r="L11" s="1"/>
      <c r="M11" s="1"/>
      <c r="N11" s="1"/>
      <c r="O11" s="1"/>
      <c r="P11" s="1"/>
    </row>
    <row r="12" spans="1:16" ht="15" customHeight="1">
      <c r="A12" s="27"/>
      <c r="B12" s="28"/>
      <c r="C12" s="28"/>
      <c r="D12" s="28"/>
      <c r="E12" s="28"/>
      <c r="F12" s="28"/>
      <c r="G12" s="28"/>
      <c r="H12" s="29"/>
      <c r="I12" s="133" t="s">
        <v>231</v>
      </c>
      <c r="J12" s="1"/>
      <c r="K12" s="1"/>
      <c r="L12" s="1"/>
      <c r="M12" s="1"/>
      <c r="N12" s="1"/>
      <c r="O12" s="1"/>
      <c r="P12" s="1"/>
    </row>
    <row r="13" spans="1:16" ht="15" customHeight="1">
      <c r="A13" s="27"/>
      <c r="B13" s="28"/>
      <c r="C13" s="28"/>
      <c r="D13" s="28"/>
      <c r="E13" s="28"/>
      <c r="F13" s="28"/>
      <c r="G13" s="28"/>
      <c r="H13" s="29"/>
      <c r="I13" s="132" t="s">
        <v>232</v>
      </c>
      <c r="J13" s="1"/>
      <c r="K13" s="1"/>
      <c r="L13" s="1"/>
      <c r="M13" s="1"/>
      <c r="N13" s="1"/>
      <c r="O13" s="1"/>
      <c r="P13" s="1"/>
    </row>
    <row r="14" spans="1:16" ht="15" customHeight="1">
      <c r="A14" s="27"/>
      <c r="B14" s="28"/>
      <c r="C14" s="28"/>
      <c r="D14" s="28"/>
      <c r="E14" s="28"/>
      <c r="F14" s="28"/>
      <c r="G14" s="28"/>
      <c r="H14" s="29"/>
      <c r="I14" s="133" t="s">
        <v>233</v>
      </c>
      <c r="J14" s="1"/>
      <c r="K14" s="1"/>
      <c r="L14" s="1"/>
      <c r="M14" s="1"/>
      <c r="N14" s="1"/>
      <c r="O14" s="1"/>
      <c r="P14" s="1"/>
    </row>
    <row r="15" spans="1:16" ht="15" customHeight="1">
      <c r="A15" s="27"/>
      <c r="B15" s="28"/>
      <c r="C15" s="28"/>
      <c r="D15" s="28"/>
      <c r="E15" s="28"/>
      <c r="F15" s="28"/>
      <c r="G15" s="28"/>
      <c r="H15" s="29"/>
      <c r="I15" s="1"/>
      <c r="J15" s="1"/>
      <c r="K15" s="1"/>
      <c r="L15" s="1"/>
      <c r="M15" s="1"/>
      <c r="N15" s="1"/>
      <c r="O15" s="1"/>
      <c r="P15" s="1"/>
    </row>
    <row r="16" spans="1:16" ht="12" customHeight="1">
      <c r="A16" s="33" t="s">
        <v>95</v>
      </c>
      <c r="B16" s="91" t="s">
        <v>103</v>
      </c>
      <c r="C16" s="92"/>
      <c r="D16" s="33" t="s">
        <v>111</v>
      </c>
      <c r="E16" s="2" t="s">
        <v>148</v>
      </c>
      <c r="F16" s="2" t="s">
        <v>151</v>
      </c>
      <c r="G16" s="2" t="s">
        <v>155</v>
      </c>
      <c r="H16" s="37" t="s">
        <v>179</v>
      </c>
      <c r="I16" s="1"/>
      <c r="J16" s="1"/>
      <c r="K16" s="1"/>
      <c r="L16" s="1"/>
      <c r="M16" s="1"/>
      <c r="N16" s="1"/>
      <c r="O16" s="1"/>
      <c r="P16" s="1"/>
    </row>
    <row r="17" spans="1:16" ht="12" customHeight="1">
      <c r="A17" s="13" t="s">
        <v>181</v>
      </c>
      <c r="B17" s="16" t="s">
        <v>182</v>
      </c>
      <c r="C17" s="17" t="s">
        <v>189</v>
      </c>
      <c r="D17" s="2" t="s">
        <v>13</v>
      </c>
      <c r="E17" s="19">
        <v>6</v>
      </c>
      <c r="F17" s="19">
        <v>6</v>
      </c>
      <c r="G17" s="19">
        <v>6</v>
      </c>
      <c r="H17" s="19">
        <v>6</v>
      </c>
      <c r="I17" s="1"/>
      <c r="J17" s="1"/>
      <c r="K17" s="1"/>
      <c r="L17" s="1"/>
      <c r="M17" s="1"/>
      <c r="N17" s="1"/>
      <c r="O17" s="1"/>
      <c r="P17" s="1"/>
    </row>
    <row r="18" spans="1:16" ht="12" customHeight="1">
      <c r="A18" s="12" t="s">
        <v>183</v>
      </c>
      <c r="B18" s="16" t="s">
        <v>182</v>
      </c>
      <c r="C18" s="13" t="s">
        <v>190</v>
      </c>
      <c r="D18" s="2" t="s">
        <v>14</v>
      </c>
      <c r="E18" s="47">
        <v>91</v>
      </c>
      <c r="F18" s="47">
        <v>91</v>
      </c>
      <c r="G18" s="47">
        <v>91</v>
      </c>
      <c r="H18" s="47">
        <v>91</v>
      </c>
      <c r="I18" s="1"/>
      <c r="J18" s="1"/>
      <c r="K18" s="1"/>
      <c r="L18" s="1"/>
      <c r="M18" s="1"/>
      <c r="N18" s="1"/>
      <c r="O18" s="1"/>
      <c r="P18" s="1"/>
    </row>
    <row r="19" spans="1:16" ht="12" customHeight="1">
      <c r="A19" s="12" t="s">
        <v>188</v>
      </c>
      <c r="B19" s="106" t="s">
        <v>187</v>
      </c>
      <c r="C19" s="107"/>
      <c r="D19" s="101"/>
      <c r="E19" s="9"/>
      <c r="F19" s="9"/>
      <c r="G19" s="9">
        <v>1</v>
      </c>
      <c r="H19" s="9"/>
      <c r="I19" s="1"/>
      <c r="J19" s="1"/>
      <c r="K19" s="1"/>
      <c r="L19" s="1"/>
      <c r="M19" s="1"/>
      <c r="N19" s="1"/>
      <c r="O19" s="1"/>
      <c r="P19" s="1"/>
    </row>
    <row r="20" spans="1:16" ht="12" customHeight="1">
      <c r="A20" s="13" t="s">
        <v>184</v>
      </c>
      <c r="B20" s="64" t="s">
        <v>186</v>
      </c>
      <c r="C20" s="13" t="s">
        <v>78</v>
      </c>
      <c r="D20" s="2" t="s">
        <v>20</v>
      </c>
      <c r="E20" s="63">
        <f>IF(OR(AND(F20&lt;&gt;0,F21&lt;&gt;0,F20&gt;=F21),AND(G20&lt;&gt;0,G21&lt;&gt;0,G20&gt;=G21)),"周波数不適","")</f>
      </c>
      <c r="F20" s="9"/>
      <c r="G20" s="9">
        <v>2000</v>
      </c>
      <c r="H20" s="9"/>
      <c r="I20" s="1"/>
      <c r="J20" s="1"/>
      <c r="K20" s="1"/>
      <c r="L20" s="1"/>
      <c r="M20" s="1"/>
      <c r="N20" s="1"/>
      <c r="O20" s="1"/>
      <c r="P20" s="1"/>
    </row>
    <row r="21" spans="1:16" ht="12" customHeight="1">
      <c r="A21" s="13" t="s">
        <v>185</v>
      </c>
      <c r="B21" s="64" t="s">
        <v>186</v>
      </c>
      <c r="C21" s="13" t="s">
        <v>79</v>
      </c>
      <c r="D21" s="2" t="s">
        <v>63</v>
      </c>
      <c r="E21" s="9">
        <v>2000</v>
      </c>
      <c r="F21" s="9"/>
      <c r="G21" s="9"/>
      <c r="H21" s="20"/>
      <c r="I21" s="1"/>
      <c r="J21" s="1"/>
      <c r="K21" s="1"/>
      <c r="L21" s="1"/>
      <c r="M21" s="1"/>
      <c r="N21" s="1"/>
      <c r="O21" s="1"/>
      <c r="P21" s="1"/>
    </row>
    <row r="22" spans="1:16" ht="12" customHeight="1">
      <c r="A22" s="93" t="s">
        <v>191</v>
      </c>
      <c r="B22" s="12" t="s">
        <v>101</v>
      </c>
      <c r="C22" s="13" t="s">
        <v>88</v>
      </c>
      <c r="D22" s="2" t="s">
        <v>131</v>
      </c>
      <c r="E22" s="20"/>
      <c r="F22" s="3">
        <f>IF(F$20="","",F$17*10^3/(2*PI()*F20))</f>
      </c>
      <c r="G22" s="3">
        <f>IF(G$20="","",G$17*10^3/(2*PI()*G20))</f>
        <v>0.47746482927568606</v>
      </c>
      <c r="H22" s="3">
        <f>IF(H$20="","",H$17*10^3/(2*PI()*H20))</f>
      </c>
      <c r="I22" s="1"/>
      <c r="J22" s="1"/>
      <c r="K22" s="1"/>
      <c r="L22" s="1"/>
      <c r="M22" s="1"/>
      <c r="N22" s="1"/>
      <c r="O22" s="1"/>
      <c r="P22" s="1"/>
    </row>
    <row r="23" spans="1:16" ht="12" customHeight="1">
      <c r="A23" s="94"/>
      <c r="B23" s="12" t="s">
        <v>102</v>
      </c>
      <c r="C23" s="13" t="s">
        <v>89</v>
      </c>
      <c r="D23" s="67" t="s">
        <v>132</v>
      </c>
      <c r="E23" s="14"/>
      <c r="F23" s="3">
        <f>IF(F$20="","",10^6/(2*PI()*F20*F$17))</f>
      </c>
      <c r="G23" s="3">
        <f>IF(G$20="","",10^6/(2*PI()*G20*G$17))</f>
        <v>13.262911924324612</v>
      </c>
      <c r="H23" s="3">
        <f>IF(H$20="","",10^6/(2*PI()*H20*H$17))</f>
      </c>
      <c r="I23" s="1"/>
      <c r="J23" s="1"/>
      <c r="K23" s="1"/>
      <c r="L23" s="1"/>
      <c r="M23" s="1"/>
      <c r="N23" s="1"/>
      <c r="O23" s="1"/>
      <c r="P23" s="1"/>
    </row>
    <row r="24" spans="1:16" ht="12" customHeight="1">
      <c r="A24" s="93" t="s">
        <v>192</v>
      </c>
      <c r="B24" s="12" t="s">
        <v>101</v>
      </c>
      <c r="C24" s="13" t="s">
        <v>90</v>
      </c>
      <c r="D24" s="2" t="s">
        <v>131</v>
      </c>
      <c r="E24" s="3">
        <f>IF(E$21="","",E$17*10^3/(2*PI()*E21))</f>
        <v>0.47746482927568606</v>
      </c>
      <c r="F24" s="3">
        <f>IF(F$21="","",F$17*10^3/(2*PI()*F21))</f>
      </c>
      <c r="G24" s="3">
        <f>IF(G$21="","",G$17*10^3/(2*PI()*G21))</f>
      </c>
      <c r="H24" s="14"/>
      <c r="I24" s="1"/>
      <c r="J24" s="1"/>
      <c r="K24" s="1"/>
      <c r="L24" s="1"/>
      <c r="M24" s="1"/>
      <c r="N24" s="1"/>
      <c r="O24" s="1"/>
      <c r="P24" s="1"/>
    </row>
    <row r="25" spans="1:16" ht="12" customHeight="1">
      <c r="A25" s="94"/>
      <c r="B25" s="12" t="s">
        <v>102</v>
      </c>
      <c r="C25" s="13" t="s">
        <v>91</v>
      </c>
      <c r="D25" s="67" t="s">
        <v>132</v>
      </c>
      <c r="E25" s="3">
        <f>IF(E$21="","",10^6/(2*PI()*E21*E$17))</f>
        <v>13.262911924324612</v>
      </c>
      <c r="F25" s="3">
        <f>IF(F$21="","",10^6/(2*PI()*F21*F$17))</f>
      </c>
      <c r="G25" s="3">
        <f>IF(G$21="","",10^6/(2*PI()*G21*G$17))</f>
      </c>
      <c r="H25" s="14"/>
      <c r="I25" s="1"/>
      <c r="J25" s="1"/>
      <c r="K25" s="1"/>
      <c r="L25" s="1"/>
      <c r="M25" s="1"/>
      <c r="N25" s="1"/>
      <c r="O25" s="1"/>
      <c r="P25" s="1"/>
    </row>
    <row r="26" spans="1:16" ht="12" customHeight="1">
      <c r="A26" s="95" t="s">
        <v>98</v>
      </c>
      <c r="B26" s="12" t="s">
        <v>107</v>
      </c>
      <c r="C26" s="13" t="s">
        <v>193</v>
      </c>
      <c r="D26" s="2" t="s">
        <v>127</v>
      </c>
      <c r="E26" s="19">
        <v>6</v>
      </c>
      <c r="F26" s="19">
        <v>6</v>
      </c>
      <c r="G26" s="19">
        <v>6</v>
      </c>
      <c r="H26" s="19">
        <v>6</v>
      </c>
      <c r="I26" s="1"/>
      <c r="J26" s="1"/>
      <c r="K26" s="1"/>
      <c r="L26" s="1"/>
      <c r="M26" s="1"/>
      <c r="N26" s="1"/>
      <c r="O26" s="1"/>
      <c r="P26" s="1"/>
    </row>
    <row r="27" spans="1:16" ht="12" customHeight="1">
      <c r="A27" s="96"/>
      <c r="B27" s="12" t="s">
        <v>104</v>
      </c>
      <c r="C27" s="13" t="s">
        <v>194</v>
      </c>
      <c r="D27" s="2" t="s">
        <v>11</v>
      </c>
      <c r="E27" s="47">
        <v>91</v>
      </c>
      <c r="F27" s="47">
        <v>91</v>
      </c>
      <c r="G27" s="47">
        <v>105</v>
      </c>
      <c r="H27" s="47">
        <v>91</v>
      </c>
      <c r="I27" s="1"/>
      <c r="J27" s="1"/>
      <c r="K27" s="1"/>
      <c r="L27" s="1"/>
      <c r="M27" s="1"/>
      <c r="N27" s="1"/>
      <c r="O27" s="1"/>
      <c r="P27" s="1"/>
    </row>
    <row r="28" spans="1:16" ht="12" customHeight="1">
      <c r="A28" s="96"/>
      <c r="B28" s="106" t="s">
        <v>200</v>
      </c>
      <c r="C28" s="107"/>
      <c r="D28" s="101"/>
      <c r="E28" s="9"/>
      <c r="F28" s="9"/>
      <c r="G28" s="9">
        <v>1</v>
      </c>
      <c r="H28" s="9"/>
      <c r="I28" s="1"/>
      <c r="J28" s="1"/>
      <c r="K28" s="1"/>
      <c r="L28" s="1"/>
      <c r="M28" s="1"/>
      <c r="N28" s="1"/>
      <c r="O28" s="1"/>
      <c r="P28" s="1"/>
    </row>
    <row r="29" spans="1:16" ht="12" customHeight="1">
      <c r="A29" s="96"/>
      <c r="B29" s="12" t="s">
        <v>106</v>
      </c>
      <c r="C29" s="13" t="s">
        <v>153</v>
      </c>
      <c r="D29" s="2" t="s">
        <v>134</v>
      </c>
      <c r="E29" s="14">
        <f>IF(E$17*E$18*E$26*E$27=0,"",IF(E$28=0,"",IF(E$18&gt;E$27+10*LOG(E$17/E$26),"Unable",IF(E$26/(10^((E$18-E$27-10*LOG(E$17/E$26))/20))-E$17=0,"Blank",IF(E$28=2,IF(E$17&gt;=E$26,"Blank",E$17*E$26/ABS(E$26-E$17)),E$17*E$26/ABS(E$26/(10^((E$18-E$27-10*LOG(E$17/E$26))/20))-E$17))))))</f>
      </c>
      <c r="F29" s="14">
        <f>IF(F$17*F$18*F$26*F$27=0,"",IF(F$28=0,"",IF(F$18&gt;F$27+10*LOG(F$17/F$26),"Unable",IF(F$26/(10^((F$18-F$27-10*LOG(F$17/F$26))/20))-F$17=0,"Blank",IF(F$28=2,IF(F$17&gt;=F$26,"Blank",F$17*F$26/ABS(F$26-F$17)),F$17*F$26/ABS(F$26/(10^((F$18-F$27-10*LOG(F$17/F$26))/20))-F$17))))))</f>
      </c>
      <c r="G29" s="14">
        <f>IF(G$17*G$18*G$26*G$27=0,"",IF(G$28=0,"",IF(G$18&gt;G$27+10*LOG(G$17/G$26),"Unable",IF(G$26/(10^((G$18-G$27-10*LOG(G$17/G$26))/20))-G$17=0,"Blank",IF(G$28=2,IF(G$17&gt;=G$26,"Blank",G$17*G$26/ABS(G$26-G$17)),G$17*G$26/ABS(G$26/(10^((G$18-G$27-10*LOG(G$17/G$26))/20))-G$17))))))</f>
        <v>1.4955610490772422</v>
      </c>
      <c r="H29" s="14">
        <f>IF(H$17*H$18*H$26*H$27=0,"",IF(H$28=0,"",IF(H$18&gt;H$27+10*LOG(H$17/H$26),"Unable",IF(H$26/(10^((H$18-H$27-10*LOG(H$17/H$26))/20))-H$17=0,"Blank",IF(H$28=2,IF(H$17&gt;=H$26,"Blank",H$17*H$26/ABS(H$26-H$17)),H$17*H$26/ABS(H$26/(10^((H$18-H$27-10*LOG(H$17/H$26))/20))-H$17))))))</f>
      </c>
      <c r="I29" s="1"/>
      <c r="J29" s="1"/>
      <c r="K29" s="1"/>
      <c r="L29" s="1"/>
      <c r="M29" s="1"/>
      <c r="N29" s="1"/>
      <c r="O29" s="1"/>
      <c r="P29" s="1"/>
    </row>
    <row r="30" spans="1:16" ht="12" customHeight="1">
      <c r="A30" s="96"/>
      <c r="B30" s="12" t="s">
        <v>108</v>
      </c>
      <c r="C30" s="13" t="s">
        <v>154</v>
      </c>
      <c r="D30" s="2" t="s">
        <v>134</v>
      </c>
      <c r="E30" s="14">
        <f>IF(E$17*E$18*E$26*E$27=0,"",IF(E$28=0,"",IF(E$27+E$33&lt;E$18,"Unable",IF(E$29="Unable","Unable",IF(E$29="Blank",E$17-E$26,E$17-E$29*E$26/(E$29+E$26))))))</f>
      </c>
      <c r="F30" s="14">
        <f>IF(F$17*F$18*F$26*F$27=0,"",IF(F$28=0,"",IF(F$27+F$33&lt;F$18,"Unable",IF(F$29="Unable","Unable",IF(F$29="Blank",F$17-F$26,F$17-F$29*F$26/(F$29+F$26))))))</f>
      </c>
      <c r="G30" s="14">
        <f>IF(G$17*G$18*G$26*G$27=0,"",IF(G$28=0,"",IF(G$27+G$33&lt;G$18,"Unable",IF(G$29="Unable","Unable",IF(G$29="Blank",G$17-G$26,G$17-G$29*G$26/(G$29+G$26))))))</f>
        <v>4.802842611018672</v>
      </c>
      <c r="H30" s="14">
        <f>IF(H$17*H$18*H$26*H$27=0,"",IF(H$28=0,"",IF(H$27+H$33&lt;H$18,"Unable",IF(H$29="Unable","Unable",IF(H$29="Blank",H$17-H$26,H$17-H$29*H$26/(H$29+H$26))))))</f>
      </c>
      <c r="I30" s="1"/>
      <c r="J30" s="1"/>
      <c r="K30" s="1"/>
      <c r="L30" s="1"/>
      <c r="M30" s="1"/>
      <c r="N30" s="1"/>
      <c r="O30" s="1"/>
      <c r="P30" s="1"/>
    </row>
    <row r="31" spans="1:16" ht="12" customHeight="1">
      <c r="A31" s="96"/>
      <c r="B31" s="12" t="s">
        <v>109</v>
      </c>
      <c r="C31" s="22" t="s">
        <v>76</v>
      </c>
      <c r="D31" s="2" t="s">
        <v>134</v>
      </c>
      <c r="E31" s="23">
        <f>IF(E$17*E$18*E$26*E$27=0,"",IF(OR(E$28=1,E$28=2),E$17,E$26))</f>
        <v>6</v>
      </c>
      <c r="F31" s="23">
        <f>IF(F$17*F$18*F$26*F$27=0,"",IF(OR(F$28=1,F$28=2),F$17,F$26))</f>
        <v>6</v>
      </c>
      <c r="G31" s="23">
        <f>IF(G$17*G$18*G$26*G$27=0,"",IF(OR(G$28=1,G$28=2),G$17,G$26))</f>
        <v>6</v>
      </c>
      <c r="H31" s="23">
        <f>IF(H$17*H$18*H$26*H$27=0,"",IF(OR(H$28=1,H$28=2),H$17,H$26))</f>
        <v>6</v>
      </c>
      <c r="I31" s="1"/>
      <c r="J31" s="1"/>
      <c r="K31" s="1"/>
      <c r="L31" s="1"/>
      <c r="M31" s="1"/>
      <c r="N31" s="1"/>
      <c r="O31" s="1"/>
      <c r="P31" s="1"/>
    </row>
    <row r="32" spans="1:16" ht="12" customHeight="1">
      <c r="A32" s="96"/>
      <c r="B32" s="12" t="s">
        <v>110</v>
      </c>
      <c r="C32" s="13" t="s">
        <v>77</v>
      </c>
      <c r="D32" s="2" t="s">
        <v>112</v>
      </c>
      <c r="E32" s="14">
        <f>IF(E$17*E$18*E$26*E$27=0,"",10^(E$33/20))</f>
        <v>1</v>
      </c>
      <c r="F32" s="14">
        <f>IF(F$17*F$18*F$26*F$27=0,"",10^(F$33/20))</f>
        <v>1</v>
      </c>
      <c r="G32" s="14">
        <f>IF(G$17*G$18*G$26*G$27=0,"",10^(G$33/20))</f>
        <v>1</v>
      </c>
      <c r="H32" s="14">
        <f>IF(H$17*H$18*H$26*H$27=0,"",10^(H$33/20))</f>
        <v>1</v>
      </c>
      <c r="I32" s="1"/>
      <c r="J32" s="1"/>
      <c r="K32" s="1"/>
      <c r="L32" s="1"/>
      <c r="M32" s="1"/>
      <c r="N32" s="1"/>
      <c r="O32" s="1"/>
      <c r="P32" s="1"/>
    </row>
    <row r="33" spans="1:16" ht="12" customHeight="1">
      <c r="A33" s="97"/>
      <c r="B33" s="12" t="s">
        <v>110</v>
      </c>
      <c r="C33" s="13" t="s">
        <v>77</v>
      </c>
      <c r="D33" s="2" t="s">
        <v>125</v>
      </c>
      <c r="E33" s="14">
        <f>IF(E$17*E$18*E$26*E$27=0,"",IF(E$28=1,0,E$27-E$18+10*LOG(E$17/E$26)+IF(E$28=2,IF(E$29="Blank",20*LOG(E$26/E$31),20*LOG(E$26*E$29/((E$26+E$29)*E$31))),0)))</f>
        <v>0</v>
      </c>
      <c r="F33" s="14">
        <f>IF(F$17*F$18*F$26*F$27=0,"",IF(F$28=1,0,F$27-F$18+10*LOG(F$17/F$26)+IF(F$28=2,IF(F$29="Blank",20*LOG(F$26/F$31),20*LOG(F$26*F$29/((F$26+F$29)*F$31))),0)))</f>
        <v>0</v>
      </c>
      <c r="G33" s="14">
        <f>IF(G$17*G$18*G$26*G$27=0,"",IF(G$28=1,0,G$27-G$18+10*LOG(G$17/G$26)+IF(G$28=2,IF(G$29="Blank",20*LOG(G$26/G$31),20*LOG(G$26*G$29/((G$26+G$29)*G$31))),0)))</f>
        <v>0</v>
      </c>
      <c r="H33" s="14">
        <f>IF(H$17*H$18*H$26*H$27=0,"",IF(H$28=1,0,H$27-H$18+10*LOG(H$17/H$26)+IF(H$28=2,IF(H$29="Blank",20*LOG(H$26/H$31),20*LOG(H$26*H$29/((H$26+H$29)*H$31))),0)))</f>
        <v>0</v>
      </c>
      <c r="I33" s="1"/>
      <c r="J33" s="1"/>
      <c r="K33" s="1"/>
      <c r="L33" s="1"/>
      <c r="M33" s="1"/>
      <c r="N33" s="1"/>
      <c r="O33" s="1"/>
      <c r="P33" s="1"/>
    </row>
    <row r="34" spans="1:8" ht="12" customHeight="1">
      <c r="A34" s="90" t="s">
        <v>96</v>
      </c>
      <c r="B34" s="4">
        <v>20</v>
      </c>
      <c r="C34" s="5" t="s">
        <v>130</v>
      </c>
      <c r="D34" s="2" t="s">
        <v>201</v>
      </c>
      <c r="E34" s="6">
        <f aca="true" t="shared" si="0" ref="E34:H55">E$17</f>
        <v>6</v>
      </c>
      <c r="F34" s="6">
        <f t="shared" si="0"/>
        <v>6</v>
      </c>
      <c r="G34" s="6">
        <f t="shared" si="0"/>
        <v>6</v>
      </c>
      <c r="H34" s="6">
        <f t="shared" si="0"/>
        <v>6</v>
      </c>
    </row>
    <row r="35" spans="1:8" ht="12" customHeight="1">
      <c r="A35" s="90"/>
      <c r="B35" s="4">
        <v>30</v>
      </c>
      <c r="C35" s="5" t="s">
        <v>130</v>
      </c>
      <c r="D35" s="2" t="s">
        <v>201</v>
      </c>
      <c r="E35" s="6">
        <f t="shared" si="0"/>
        <v>6</v>
      </c>
      <c r="F35" s="6">
        <f t="shared" si="0"/>
        <v>6</v>
      </c>
      <c r="G35" s="6">
        <f t="shared" si="0"/>
        <v>6</v>
      </c>
      <c r="H35" s="6">
        <f t="shared" si="0"/>
        <v>6</v>
      </c>
    </row>
    <row r="36" spans="1:8" ht="12" customHeight="1">
      <c r="A36" s="90"/>
      <c r="B36" s="4">
        <v>40</v>
      </c>
      <c r="C36" s="5" t="s">
        <v>130</v>
      </c>
      <c r="D36" s="2" t="s">
        <v>201</v>
      </c>
      <c r="E36" s="6">
        <f t="shared" si="0"/>
        <v>6</v>
      </c>
      <c r="F36" s="6">
        <f t="shared" si="0"/>
        <v>6</v>
      </c>
      <c r="G36" s="6">
        <f t="shared" si="0"/>
        <v>6</v>
      </c>
      <c r="H36" s="6">
        <f t="shared" si="0"/>
        <v>6</v>
      </c>
    </row>
    <row r="37" spans="1:8" ht="12" customHeight="1">
      <c r="A37" s="102"/>
      <c r="B37" s="4">
        <v>50</v>
      </c>
      <c r="C37" s="5" t="s">
        <v>130</v>
      </c>
      <c r="D37" s="2" t="s">
        <v>201</v>
      </c>
      <c r="E37" s="6">
        <f t="shared" si="0"/>
        <v>6</v>
      </c>
      <c r="F37" s="6">
        <f t="shared" si="0"/>
        <v>6</v>
      </c>
      <c r="G37" s="6">
        <f t="shared" si="0"/>
        <v>6</v>
      </c>
      <c r="H37" s="6">
        <f t="shared" si="0"/>
        <v>6</v>
      </c>
    </row>
    <row r="38" spans="1:8" ht="12" customHeight="1">
      <c r="A38" s="102"/>
      <c r="B38" s="4">
        <v>70</v>
      </c>
      <c r="C38" s="5" t="s">
        <v>130</v>
      </c>
      <c r="D38" s="2" t="s">
        <v>201</v>
      </c>
      <c r="E38" s="6">
        <f t="shared" si="0"/>
        <v>6</v>
      </c>
      <c r="F38" s="6">
        <f t="shared" si="0"/>
        <v>6</v>
      </c>
      <c r="G38" s="6">
        <f t="shared" si="0"/>
        <v>6</v>
      </c>
      <c r="H38" s="6">
        <f t="shared" si="0"/>
        <v>6</v>
      </c>
    </row>
    <row r="39" spans="1:8" ht="12" customHeight="1">
      <c r="A39" s="102"/>
      <c r="B39" s="4">
        <v>100</v>
      </c>
      <c r="C39" s="5" t="s">
        <v>130</v>
      </c>
      <c r="D39" s="2" t="s">
        <v>201</v>
      </c>
      <c r="E39" s="6">
        <f t="shared" si="0"/>
        <v>6</v>
      </c>
      <c r="F39" s="6">
        <f t="shared" si="0"/>
        <v>6</v>
      </c>
      <c r="G39" s="6">
        <f t="shared" si="0"/>
        <v>6</v>
      </c>
      <c r="H39" s="6">
        <f t="shared" si="0"/>
        <v>6</v>
      </c>
    </row>
    <row r="40" spans="1:8" ht="12" customHeight="1">
      <c r="A40" s="102"/>
      <c r="B40" s="4">
        <v>150</v>
      </c>
      <c r="C40" s="5" t="s">
        <v>130</v>
      </c>
      <c r="D40" s="2" t="s">
        <v>201</v>
      </c>
      <c r="E40" s="6">
        <f t="shared" si="0"/>
        <v>6</v>
      </c>
      <c r="F40" s="6">
        <f t="shared" si="0"/>
        <v>6</v>
      </c>
      <c r="G40" s="6">
        <f t="shared" si="0"/>
        <v>6</v>
      </c>
      <c r="H40" s="6">
        <f t="shared" si="0"/>
        <v>6</v>
      </c>
    </row>
    <row r="41" spans="1:8" ht="12" customHeight="1">
      <c r="A41" s="102"/>
      <c r="B41" s="4">
        <v>200</v>
      </c>
      <c r="C41" s="5" t="s">
        <v>130</v>
      </c>
      <c r="D41" s="2" t="s">
        <v>201</v>
      </c>
      <c r="E41" s="6">
        <f t="shared" si="0"/>
        <v>6</v>
      </c>
      <c r="F41" s="6">
        <f t="shared" si="0"/>
        <v>6</v>
      </c>
      <c r="G41" s="6">
        <f t="shared" si="0"/>
        <v>6</v>
      </c>
      <c r="H41" s="6">
        <f t="shared" si="0"/>
        <v>6</v>
      </c>
    </row>
    <row r="42" spans="1:8" ht="12" customHeight="1">
      <c r="A42" s="102"/>
      <c r="B42" s="4">
        <v>300</v>
      </c>
      <c r="C42" s="5" t="s">
        <v>130</v>
      </c>
      <c r="D42" s="2" t="s">
        <v>201</v>
      </c>
      <c r="E42" s="6">
        <f t="shared" si="0"/>
        <v>6</v>
      </c>
      <c r="F42" s="6">
        <f t="shared" si="0"/>
        <v>6</v>
      </c>
      <c r="G42" s="6">
        <f t="shared" si="0"/>
        <v>6</v>
      </c>
      <c r="H42" s="6">
        <f t="shared" si="0"/>
        <v>6</v>
      </c>
    </row>
    <row r="43" spans="1:8" ht="12" customHeight="1">
      <c r="A43" s="102"/>
      <c r="B43" s="4">
        <v>400</v>
      </c>
      <c r="C43" s="5" t="s">
        <v>130</v>
      </c>
      <c r="D43" s="2" t="s">
        <v>201</v>
      </c>
      <c r="E43" s="6">
        <f t="shared" si="0"/>
        <v>6</v>
      </c>
      <c r="F43" s="6">
        <f t="shared" si="0"/>
        <v>6</v>
      </c>
      <c r="G43" s="6">
        <f t="shared" si="0"/>
        <v>6</v>
      </c>
      <c r="H43" s="6">
        <f t="shared" si="0"/>
        <v>6</v>
      </c>
    </row>
    <row r="44" spans="1:8" ht="12" customHeight="1">
      <c r="A44" s="102"/>
      <c r="B44" s="4">
        <v>500</v>
      </c>
      <c r="C44" s="5" t="s">
        <v>130</v>
      </c>
      <c r="D44" s="2" t="s">
        <v>201</v>
      </c>
      <c r="E44" s="6">
        <f t="shared" si="0"/>
        <v>6</v>
      </c>
      <c r="F44" s="6">
        <f t="shared" si="0"/>
        <v>6</v>
      </c>
      <c r="G44" s="6">
        <f t="shared" si="0"/>
        <v>6</v>
      </c>
      <c r="H44" s="6">
        <f t="shared" si="0"/>
        <v>6</v>
      </c>
    </row>
    <row r="45" spans="1:8" ht="12" customHeight="1">
      <c r="A45" s="102"/>
      <c r="B45" s="4">
        <v>700</v>
      </c>
      <c r="C45" s="5" t="s">
        <v>130</v>
      </c>
      <c r="D45" s="2" t="s">
        <v>201</v>
      </c>
      <c r="E45" s="6">
        <f t="shared" si="0"/>
        <v>6</v>
      </c>
      <c r="F45" s="6">
        <f t="shared" si="0"/>
        <v>6</v>
      </c>
      <c r="G45" s="6">
        <f t="shared" si="0"/>
        <v>6</v>
      </c>
      <c r="H45" s="6">
        <f t="shared" si="0"/>
        <v>6</v>
      </c>
    </row>
    <row r="46" spans="1:8" ht="12" customHeight="1">
      <c r="A46" s="102"/>
      <c r="B46" s="4" t="s">
        <v>64</v>
      </c>
      <c r="C46" s="5" t="s">
        <v>130</v>
      </c>
      <c r="D46" s="2" t="s">
        <v>201</v>
      </c>
      <c r="E46" s="6">
        <f t="shared" si="0"/>
        <v>6</v>
      </c>
      <c r="F46" s="6">
        <f t="shared" si="0"/>
        <v>6</v>
      </c>
      <c r="G46" s="6">
        <f t="shared" si="0"/>
        <v>6</v>
      </c>
      <c r="H46" s="6">
        <f t="shared" si="0"/>
        <v>6</v>
      </c>
    </row>
    <row r="47" spans="1:8" ht="12" customHeight="1">
      <c r="A47" s="102"/>
      <c r="B47" s="4" t="s">
        <v>65</v>
      </c>
      <c r="C47" s="5" t="s">
        <v>130</v>
      </c>
      <c r="D47" s="2" t="s">
        <v>201</v>
      </c>
      <c r="E47" s="6">
        <f t="shared" si="0"/>
        <v>6</v>
      </c>
      <c r="F47" s="6">
        <f t="shared" si="0"/>
        <v>6</v>
      </c>
      <c r="G47" s="6">
        <f t="shared" si="0"/>
        <v>6</v>
      </c>
      <c r="H47" s="6">
        <f t="shared" si="0"/>
        <v>6</v>
      </c>
    </row>
    <row r="48" spans="1:8" ht="12" customHeight="1">
      <c r="A48" s="102"/>
      <c r="B48" s="4" t="s">
        <v>66</v>
      </c>
      <c r="C48" s="5" t="s">
        <v>130</v>
      </c>
      <c r="D48" s="2" t="s">
        <v>201</v>
      </c>
      <c r="E48" s="6">
        <f t="shared" si="0"/>
        <v>6</v>
      </c>
      <c r="F48" s="6">
        <f t="shared" si="0"/>
        <v>6</v>
      </c>
      <c r="G48" s="6">
        <f t="shared" si="0"/>
        <v>6</v>
      </c>
      <c r="H48" s="6">
        <f t="shared" si="0"/>
        <v>6</v>
      </c>
    </row>
    <row r="49" spans="1:8" ht="12" customHeight="1">
      <c r="A49" s="102"/>
      <c r="B49" s="4" t="s">
        <v>67</v>
      </c>
      <c r="C49" s="5" t="s">
        <v>130</v>
      </c>
      <c r="D49" s="2" t="s">
        <v>201</v>
      </c>
      <c r="E49" s="6">
        <f t="shared" si="0"/>
        <v>6</v>
      </c>
      <c r="F49" s="6">
        <f t="shared" si="0"/>
        <v>6</v>
      </c>
      <c r="G49" s="6">
        <f t="shared" si="0"/>
        <v>6</v>
      </c>
      <c r="H49" s="6">
        <f t="shared" si="0"/>
        <v>6</v>
      </c>
    </row>
    <row r="50" spans="1:8" ht="12" customHeight="1">
      <c r="A50" s="102"/>
      <c r="B50" s="4" t="s">
        <v>68</v>
      </c>
      <c r="C50" s="5" t="s">
        <v>130</v>
      </c>
      <c r="D50" s="2" t="s">
        <v>201</v>
      </c>
      <c r="E50" s="6">
        <f t="shared" si="0"/>
        <v>6</v>
      </c>
      <c r="F50" s="6">
        <f t="shared" si="0"/>
        <v>6</v>
      </c>
      <c r="G50" s="6">
        <f t="shared" si="0"/>
        <v>6</v>
      </c>
      <c r="H50" s="6">
        <f t="shared" si="0"/>
        <v>6</v>
      </c>
    </row>
    <row r="51" spans="1:8" ht="12" customHeight="1">
      <c r="A51" s="102"/>
      <c r="B51" s="4" t="s">
        <v>69</v>
      </c>
      <c r="C51" s="5" t="s">
        <v>130</v>
      </c>
      <c r="D51" s="2" t="s">
        <v>201</v>
      </c>
      <c r="E51" s="6">
        <f t="shared" si="0"/>
        <v>6</v>
      </c>
      <c r="F51" s="6">
        <f t="shared" si="0"/>
        <v>6</v>
      </c>
      <c r="G51" s="6">
        <f t="shared" si="0"/>
        <v>6</v>
      </c>
      <c r="H51" s="6">
        <f t="shared" si="0"/>
        <v>6</v>
      </c>
    </row>
    <row r="52" spans="1:8" ht="12" customHeight="1">
      <c r="A52" s="102"/>
      <c r="B52" s="4" t="s">
        <v>70</v>
      </c>
      <c r="C52" s="5" t="s">
        <v>130</v>
      </c>
      <c r="D52" s="2" t="s">
        <v>201</v>
      </c>
      <c r="E52" s="6">
        <f t="shared" si="0"/>
        <v>6</v>
      </c>
      <c r="F52" s="6">
        <f t="shared" si="0"/>
        <v>6</v>
      </c>
      <c r="G52" s="6">
        <f t="shared" si="0"/>
        <v>6</v>
      </c>
      <c r="H52" s="6">
        <f t="shared" si="0"/>
        <v>6</v>
      </c>
    </row>
    <row r="53" spans="1:8" ht="12" customHeight="1">
      <c r="A53" s="102"/>
      <c r="B53" s="4" t="s">
        <v>71</v>
      </c>
      <c r="C53" s="5" t="s">
        <v>130</v>
      </c>
      <c r="D53" s="2" t="s">
        <v>201</v>
      </c>
      <c r="E53" s="6">
        <f t="shared" si="0"/>
        <v>6</v>
      </c>
      <c r="F53" s="6">
        <f t="shared" si="0"/>
        <v>6</v>
      </c>
      <c r="G53" s="6">
        <f t="shared" si="0"/>
        <v>6</v>
      </c>
      <c r="H53" s="6">
        <f t="shared" si="0"/>
        <v>6</v>
      </c>
    </row>
    <row r="54" spans="1:8" ht="12" customHeight="1">
      <c r="A54" s="102"/>
      <c r="B54" s="4" t="s">
        <v>72</v>
      </c>
      <c r="C54" s="5" t="s">
        <v>130</v>
      </c>
      <c r="D54" s="2" t="s">
        <v>201</v>
      </c>
      <c r="E54" s="6">
        <f t="shared" si="0"/>
        <v>6</v>
      </c>
      <c r="F54" s="6">
        <f t="shared" si="0"/>
        <v>6</v>
      </c>
      <c r="G54" s="6">
        <f t="shared" si="0"/>
        <v>6</v>
      </c>
      <c r="H54" s="6">
        <f t="shared" si="0"/>
        <v>6</v>
      </c>
    </row>
    <row r="55" spans="1:8" ht="12" customHeight="1">
      <c r="A55" s="102"/>
      <c r="B55" s="4" t="s">
        <v>73</v>
      </c>
      <c r="C55" s="5" t="s">
        <v>130</v>
      </c>
      <c r="D55" s="2" t="s">
        <v>201</v>
      </c>
      <c r="E55" s="6">
        <f t="shared" si="0"/>
        <v>6</v>
      </c>
      <c r="F55" s="6">
        <f t="shared" si="0"/>
        <v>6</v>
      </c>
      <c r="G55" s="6">
        <f t="shared" si="0"/>
        <v>6</v>
      </c>
      <c r="H55" s="6">
        <f t="shared" si="0"/>
        <v>6</v>
      </c>
    </row>
    <row r="56" spans="1:8" ht="12" customHeight="1">
      <c r="A56" s="81" t="s">
        <v>116</v>
      </c>
      <c r="B56" s="4">
        <v>20</v>
      </c>
      <c r="C56" s="5" t="s">
        <v>130</v>
      </c>
      <c r="D56" s="2" t="s">
        <v>125</v>
      </c>
      <c r="E56" s="21">
        <f>IF(E$31="","",E$33+IF(E$21=0,0,20*LOG(E$31/((E$31^2+E144^2)^0.5))))</f>
        <v>-0.0004342720350344593</v>
      </c>
      <c r="F56" s="21">
        <f>IF(F$31="","",F$33+IF(F$20=0,0,20*LOG(F$31/((F$31^2+F122^2)^0.5)))+IF(F$21=0,0,20*LOG(F$31/((F$31^2+F144^2)^0.5)))+$F$18-$E$18)</f>
        <v>0</v>
      </c>
      <c r="G56" s="21">
        <f>IF(G$31="","",G$33+IF(G$20=0,0,20*LOG(G$31/((G$31^2+G122^2)^0.5)))+IF(G$21=0,0,20*LOG(G$31/((G$31^2+G144^2)^0.5)))+$G$18-$E$18)</f>
        <v>-40.00044160869525</v>
      </c>
      <c r="H56" s="21">
        <f>IF(H$31="","",H$33+IF(H$20=0,0,20*LOG(H$31/((H$31^2+H122^2)^0.5)))+$H$18-$E$18)</f>
        <v>0</v>
      </c>
    </row>
    <row r="57" spans="1:8" ht="12" customHeight="1">
      <c r="A57" s="82"/>
      <c r="B57" s="4">
        <v>30</v>
      </c>
      <c r="C57" s="5" t="s">
        <v>130</v>
      </c>
      <c r="D57" s="2" t="s">
        <v>125</v>
      </c>
      <c r="E57" s="21">
        <f aca="true" t="shared" si="1" ref="E57:E77">IF(E$31="","",E$33+IF(E$21=0,0,20*LOG(E$31/((E$31^2+E145^2)^0.5))))</f>
        <v>-0.000977051019602396</v>
      </c>
      <c r="F57" s="21">
        <f aca="true" t="shared" si="2" ref="F57:F77">IF(F$31="","",F$33+IF(F$20=0,0,20*LOG(F$31/((F$31^2+F123^2)^0.5)))+IF(F$21=0,0,20*LOG(F$31/((F$31^2+F145^2)^0.5)))+$F$18-$E$18)</f>
        <v>0</v>
      </c>
      <c r="G57" s="21">
        <f aca="true" t="shared" si="3" ref="G57:G77">IF(G$31="","",G$33+IF(G$20=0,0,20*LOG(G$31/((G$31^2+G123^2)^0.5)))+IF(G$21=0,0,20*LOG(G$31/((G$31^2+G145^2)^0.5)))+$G$18-$E$18)</f>
        <v>-36.47915920656619</v>
      </c>
      <c r="H57" s="21">
        <f aca="true" t="shared" si="4" ref="H57:H77">IF(H$31="","",H$33+IF(H$20=0,0,20*LOG(H$31/((H$31^2+H123^2)^0.5)))+$H$18-$E$18)</f>
        <v>0</v>
      </c>
    </row>
    <row r="58" spans="1:8" ht="12" customHeight="1">
      <c r="A58" s="82"/>
      <c r="B58" s="4">
        <v>40</v>
      </c>
      <c r="C58" s="5" t="s">
        <v>130</v>
      </c>
      <c r="D58" s="2" t="s">
        <v>125</v>
      </c>
      <c r="E58" s="21">
        <f t="shared" si="1"/>
        <v>-0.0017368276511610919</v>
      </c>
      <c r="F58" s="21">
        <f t="shared" si="2"/>
        <v>0</v>
      </c>
      <c r="G58" s="21">
        <f t="shared" si="3"/>
        <v>-33.98114425103175</v>
      </c>
      <c r="H58" s="21">
        <f t="shared" si="4"/>
        <v>0</v>
      </c>
    </row>
    <row r="59" spans="1:8" ht="12" customHeight="1">
      <c r="A59" s="82"/>
      <c r="B59" s="4">
        <v>50</v>
      </c>
      <c r="C59" s="5" t="s">
        <v>130</v>
      </c>
      <c r="D59" s="2" t="s">
        <v>125</v>
      </c>
      <c r="E59" s="21">
        <f t="shared" si="1"/>
        <v>-0.0027134880512049197</v>
      </c>
      <c r="F59" s="21">
        <f t="shared" si="2"/>
        <v>0</v>
      </c>
      <c r="G59" s="21">
        <f t="shared" si="3"/>
        <v>-32.04392065127066</v>
      </c>
      <c r="H59" s="21">
        <f t="shared" si="4"/>
        <v>0</v>
      </c>
    </row>
    <row r="60" spans="1:8" ht="12" customHeight="1">
      <c r="A60" s="82"/>
      <c r="B60" s="4">
        <v>70</v>
      </c>
      <c r="C60" s="5" t="s">
        <v>130</v>
      </c>
      <c r="D60" s="2" t="s">
        <v>125</v>
      </c>
      <c r="E60" s="21">
        <f t="shared" si="1"/>
        <v>-0.005316842519844596</v>
      </c>
      <c r="F60" s="21">
        <f t="shared" si="2"/>
        <v>0</v>
      </c>
      <c r="G60" s="21">
        <f t="shared" si="3"/>
        <v>-29.123963292174544</v>
      </c>
      <c r="H60" s="21">
        <f t="shared" si="4"/>
        <v>0</v>
      </c>
    </row>
    <row r="61" spans="1:8" ht="12" customHeight="1">
      <c r="A61" s="82"/>
      <c r="B61" s="4">
        <v>100</v>
      </c>
      <c r="C61" s="5" t="s">
        <v>130</v>
      </c>
      <c r="D61" s="2" t="s">
        <v>125</v>
      </c>
      <c r="E61" s="21">
        <f t="shared" si="1"/>
        <v>-0.010843794626304174</v>
      </c>
      <c r="F61" s="21">
        <f t="shared" si="2"/>
        <v>0</v>
      </c>
      <c r="G61" s="21">
        <f t="shared" si="3"/>
        <v>-26.03145104456614</v>
      </c>
      <c r="H61" s="21">
        <f t="shared" si="4"/>
        <v>0</v>
      </c>
    </row>
    <row r="62" spans="1:8" ht="12" customHeight="1">
      <c r="A62" s="82"/>
      <c r="B62" s="4">
        <v>150</v>
      </c>
      <c r="C62" s="5" t="s">
        <v>130</v>
      </c>
      <c r="D62" s="2" t="s">
        <v>125</v>
      </c>
      <c r="E62" s="21">
        <f t="shared" si="1"/>
        <v>-0.024360573393207165</v>
      </c>
      <c r="F62" s="21">
        <f t="shared" si="2"/>
        <v>0</v>
      </c>
      <c r="G62" s="21">
        <f t="shared" si="3"/>
        <v>-22.523142642219426</v>
      </c>
      <c r="H62" s="21">
        <f t="shared" si="4"/>
        <v>0</v>
      </c>
    </row>
    <row r="63" spans="1:8" ht="12" customHeight="1">
      <c r="A63" s="82"/>
      <c r="B63" s="4">
        <v>200</v>
      </c>
      <c r="C63" s="5" t="s">
        <v>130</v>
      </c>
      <c r="D63" s="2" t="s">
        <v>125</v>
      </c>
      <c r="E63" s="21">
        <f t="shared" si="1"/>
        <v>-0.04321366518628702</v>
      </c>
      <c r="F63" s="21">
        <f t="shared" si="2"/>
        <v>0</v>
      </c>
      <c r="G63" s="21">
        <f t="shared" si="3"/>
        <v>-20.04322100184649</v>
      </c>
      <c r="H63" s="21">
        <f t="shared" si="4"/>
        <v>0</v>
      </c>
    </row>
    <row r="64" spans="1:8" ht="12" customHeight="1">
      <c r="A64" s="82"/>
      <c r="B64" s="4">
        <v>300</v>
      </c>
      <c r="C64" s="5" t="s">
        <v>130</v>
      </c>
      <c r="D64" s="2" t="s">
        <v>125</v>
      </c>
      <c r="E64" s="21">
        <f t="shared" si="1"/>
        <v>-0.09663300535152683</v>
      </c>
      <c r="F64" s="21">
        <f t="shared" si="2"/>
        <v>0</v>
      </c>
      <c r="G64" s="21">
        <f t="shared" si="3"/>
        <v>-16.574815160898112</v>
      </c>
      <c r="H64" s="21">
        <f t="shared" si="4"/>
        <v>0</v>
      </c>
    </row>
    <row r="65" spans="1:8" ht="12" customHeight="1">
      <c r="A65" s="82"/>
      <c r="B65" s="4">
        <v>400</v>
      </c>
      <c r="C65" s="5" t="s">
        <v>130</v>
      </c>
      <c r="D65" s="2" t="s">
        <v>125</v>
      </c>
      <c r="E65" s="21">
        <f t="shared" si="1"/>
        <v>-0.17033311080879368</v>
      </c>
      <c r="F65" s="21">
        <f t="shared" si="2"/>
        <v>0</v>
      </c>
      <c r="G65" s="21">
        <f t="shared" si="3"/>
        <v>-14.149740534189377</v>
      </c>
      <c r="H65" s="21">
        <f t="shared" si="4"/>
        <v>0</v>
      </c>
    </row>
    <row r="66" spans="1:8" ht="12" customHeight="1">
      <c r="A66" s="82"/>
      <c r="B66" s="4">
        <v>500</v>
      </c>
      <c r="C66" s="5" t="s">
        <v>130</v>
      </c>
      <c r="D66" s="2" t="s">
        <v>125</v>
      </c>
      <c r="E66" s="21">
        <f t="shared" si="1"/>
        <v>-0.2632889556555861</v>
      </c>
      <c r="F66" s="21">
        <f t="shared" si="2"/>
        <v>0</v>
      </c>
      <c r="G66" s="21">
        <f t="shared" si="3"/>
        <v>-12.30449611887505</v>
      </c>
      <c r="H66" s="21">
        <f t="shared" si="4"/>
        <v>0</v>
      </c>
    </row>
    <row r="67" spans="1:8" ht="12" customHeight="1">
      <c r="A67" s="82"/>
      <c r="B67" s="4">
        <v>700</v>
      </c>
      <c r="C67" s="5" t="s">
        <v>130</v>
      </c>
      <c r="D67" s="2" t="s">
        <v>125</v>
      </c>
      <c r="E67" s="21">
        <f t="shared" si="1"/>
        <v>-0.5018626960941864</v>
      </c>
      <c r="F67" s="21">
        <f t="shared" si="2"/>
        <v>0</v>
      </c>
      <c r="G67" s="21">
        <f t="shared" si="3"/>
        <v>-9.620509145748883</v>
      </c>
      <c r="H67" s="21">
        <f t="shared" si="4"/>
        <v>0</v>
      </c>
    </row>
    <row r="68" spans="1:8" ht="12" customHeight="1">
      <c r="A68" s="82"/>
      <c r="B68" s="4" t="s">
        <v>43</v>
      </c>
      <c r="C68" s="5" t="s">
        <v>130</v>
      </c>
      <c r="D68" s="2" t="s">
        <v>125</v>
      </c>
      <c r="E68" s="21">
        <f t="shared" si="1"/>
        <v>-0.9690986627495137</v>
      </c>
      <c r="F68" s="21">
        <f t="shared" si="2"/>
        <v>0</v>
      </c>
      <c r="G68" s="21">
        <f t="shared" si="3"/>
        <v>-6.989705912689345</v>
      </c>
      <c r="H68" s="21">
        <f t="shared" si="4"/>
        <v>0</v>
      </c>
    </row>
    <row r="69" spans="1:8" ht="12" customHeight="1">
      <c r="A69" s="82"/>
      <c r="B69" s="4" t="s">
        <v>44</v>
      </c>
      <c r="C69" s="5" t="s">
        <v>130</v>
      </c>
      <c r="D69" s="2" t="s">
        <v>125</v>
      </c>
      <c r="E69" s="21">
        <f t="shared" si="1"/>
        <v>-1.9381976189648806</v>
      </c>
      <c r="F69" s="21">
        <f t="shared" si="2"/>
        <v>0</v>
      </c>
      <c r="G69" s="21">
        <f t="shared" si="3"/>
        <v>-4.436979687791094</v>
      </c>
      <c r="H69" s="21">
        <f t="shared" si="4"/>
        <v>0</v>
      </c>
    </row>
    <row r="70" spans="1:8" ht="12" customHeight="1">
      <c r="A70" s="82"/>
      <c r="B70" s="4" t="s">
        <v>45</v>
      </c>
      <c r="C70" s="5" t="s">
        <v>130</v>
      </c>
      <c r="D70" s="2" t="s">
        <v>125</v>
      </c>
      <c r="E70" s="21">
        <f t="shared" si="1"/>
        <v>-3.0102962883112565</v>
      </c>
      <c r="F70" s="21">
        <f t="shared" si="2"/>
        <v>0</v>
      </c>
      <c r="G70" s="21">
        <f t="shared" si="3"/>
        <v>-3.0103036249714705</v>
      </c>
      <c r="H70" s="21">
        <f t="shared" si="4"/>
        <v>0</v>
      </c>
    </row>
    <row r="71" spans="1:8" ht="12" customHeight="1">
      <c r="A71" s="82"/>
      <c r="B71" s="4" t="s">
        <v>46</v>
      </c>
      <c r="C71" s="5" t="s">
        <v>130</v>
      </c>
      <c r="D71" s="2" t="s">
        <v>125</v>
      </c>
      <c r="E71" s="21">
        <f t="shared" si="1"/>
        <v>-5.118828530563764</v>
      </c>
      <c r="F71" s="21">
        <f t="shared" si="2"/>
        <v>0</v>
      </c>
      <c r="G71" s="21">
        <f t="shared" si="3"/>
        <v>-1.5970106861103517</v>
      </c>
      <c r="H71" s="21">
        <f t="shared" si="4"/>
        <v>0</v>
      </c>
    </row>
    <row r="72" spans="1:8" ht="12" customHeight="1">
      <c r="A72" s="82"/>
      <c r="B72" s="4" t="s">
        <v>47</v>
      </c>
      <c r="C72" s="5" t="s">
        <v>130</v>
      </c>
      <c r="D72" s="2" t="s">
        <v>125</v>
      </c>
      <c r="E72" s="21">
        <f t="shared" si="1"/>
        <v>-6.98969417403301</v>
      </c>
      <c r="F72" s="21">
        <f t="shared" si="2"/>
        <v>0</v>
      </c>
      <c r="G72" s="21">
        <f t="shared" si="3"/>
        <v>-0.9691015974135979</v>
      </c>
      <c r="H72" s="21">
        <f t="shared" si="4"/>
        <v>0</v>
      </c>
    </row>
    <row r="73" spans="1:8" ht="12" customHeight="1">
      <c r="A73" s="82"/>
      <c r="B73" s="4" t="s">
        <v>48</v>
      </c>
      <c r="C73" s="5" t="s">
        <v>130</v>
      </c>
      <c r="D73" s="2" t="s">
        <v>125</v>
      </c>
      <c r="E73" s="21">
        <f t="shared" si="1"/>
        <v>-8.603373741003594</v>
      </c>
      <c r="F73" s="21">
        <f t="shared" si="2"/>
        <v>0</v>
      </c>
      <c r="G73" s="21">
        <f t="shared" si="3"/>
        <v>-0.6445809042230479</v>
      </c>
      <c r="H73" s="21">
        <f t="shared" si="4"/>
        <v>0</v>
      </c>
    </row>
    <row r="74" spans="1:8" ht="12" customHeight="1">
      <c r="A74" s="82"/>
      <c r="B74" s="4" t="s">
        <v>49</v>
      </c>
      <c r="C74" s="5" t="s">
        <v>130</v>
      </c>
      <c r="D74" s="2" t="s">
        <v>125</v>
      </c>
      <c r="E74" s="21">
        <f t="shared" si="1"/>
        <v>-11.222151999778694</v>
      </c>
      <c r="F74" s="21">
        <f t="shared" si="2"/>
        <v>0</v>
      </c>
      <c r="G74" s="21">
        <f t="shared" si="3"/>
        <v>-0.3407984494333931</v>
      </c>
      <c r="H74" s="21">
        <f t="shared" si="4"/>
        <v>0</v>
      </c>
    </row>
    <row r="75" spans="1:8" ht="12" customHeight="1">
      <c r="A75" s="82"/>
      <c r="B75" s="4" t="s">
        <v>50</v>
      </c>
      <c r="C75" s="5" t="s">
        <v>130</v>
      </c>
      <c r="D75" s="2" t="s">
        <v>125</v>
      </c>
      <c r="E75" s="21">
        <f t="shared" si="1"/>
        <v>-14.149726425227435</v>
      </c>
      <c r="F75" s="21">
        <f t="shared" si="2"/>
        <v>0</v>
      </c>
      <c r="G75" s="21">
        <f t="shared" si="3"/>
        <v>-0.17033367516727083</v>
      </c>
      <c r="H75" s="21">
        <f t="shared" si="4"/>
        <v>0</v>
      </c>
    </row>
    <row r="76" spans="1:8" ht="12" customHeight="1">
      <c r="A76" s="82"/>
      <c r="B76" s="4" t="s">
        <v>51</v>
      </c>
      <c r="C76" s="5" t="s">
        <v>130</v>
      </c>
      <c r="D76" s="2" t="s">
        <v>125</v>
      </c>
      <c r="E76" s="21">
        <f t="shared" si="1"/>
        <v>-17.57774770161042</v>
      </c>
      <c r="F76" s="21">
        <f t="shared" si="2"/>
        <v>0</v>
      </c>
      <c r="G76" s="21">
        <f t="shared" si="3"/>
        <v>-0.07652977043663611</v>
      </c>
      <c r="H76" s="21">
        <f t="shared" si="4"/>
        <v>0</v>
      </c>
    </row>
    <row r="77" spans="1:8" ht="12" customHeight="1">
      <c r="A77" s="83"/>
      <c r="B77" s="4" t="s">
        <v>52</v>
      </c>
      <c r="C77" s="5" t="s">
        <v>130</v>
      </c>
      <c r="D77" s="2" t="s">
        <v>125</v>
      </c>
      <c r="E77" s="21">
        <f t="shared" si="1"/>
        <v>-20.043206473806478</v>
      </c>
      <c r="F77" s="21">
        <f t="shared" si="2"/>
        <v>0</v>
      </c>
      <c r="G77" s="21">
        <f t="shared" si="3"/>
        <v>-0.043213810466681934</v>
      </c>
      <c r="H77" s="21">
        <f t="shared" si="4"/>
        <v>0</v>
      </c>
    </row>
    <row r="78" spans="1:8" ht="12" customHeight="1">
      <c r="A78" s="81" t="s">
        <v>117</v>
      </c>
      <c r="B78" s="4">
        <v>20</v>
      </c>
      <c r="C78" s="5" t="s">
        <v>130</v>
      </c>
      <c r="D78" s="2" t="s">
        <v>124</v>
      </c>
      <c r="E78" s="42">
        <f>IF(E166="",0,180/PI()*ATAN(-E$31/E166))+IF(E$19=1,180,0)</f>
        <v>-0.572938213775131</v>
      </c>
      <c r="F78" s="42">
        <f>IF(F100="",0,180/PI()*ATAN(F$31/F100))+IF(F166="",0,180/PI()*ATAN(-F$31/F166))+IF(F$19=1,180,0)</f>
        <v>0</v>
      </c>
      <c r="G78" s="42">
        <f>IF(G100="",0,180/PI()*ATAN(G$31/G100))+IF(G166="",0,180/PI()*ATAN(-G$31/G166))+IF(G$19=1,-180,0)</f>
        <v>-90.57293821377512</v>
      </c>
      <c r="H78" s="42">
        <f>IF(H100="",0,180/PI()*ATAN(H$31/H100))+IF(H$19=1,-180,0)</f>
        <v>0</v>
      </c>
    </row>
    <row r="79" spans="1:8" ht="12" customHeight="1">
      <c r="A79" s="82"/>
      <c r="B79" s="4">
        <v>30</v>
      </c>
      <c r="C79" s="5" t="s">
        <v>130</v>
      </c>
      <c r="D79" s="2" t="s">
        <v>124</v>
      </c>
      <c r="E79" s="42">
        <f aca="true" t="shared" si="5" ref="E79:E99">IF(E167="",0,180/PI()*ATAN(-E$31/E167))+IF(E$19=1,180,0)</f>
        <v>-0.8593715178728607</v>
      </c>
      <c r="F79" s="42">
        <f aca="true" t="shared" si="6" ref="F79:F99">IF(F101="",0,180/PI()*ATAN(F$31/F101))+IF(F167="",0,180/PI()*ATAN(-F$31/F167))+IF(F$19=1,180,0)</f>
        <v>0</v>
      </c>
      <c r="G79" s="42">
        <f aca="true" t="shared" si="7" ref="G79:G99">IF(G101="",0,180/PI()*ATAN(G$31/G101))+IF(G167="",0,180/PI()*ATAN(-G$31/G167))+IF(G$19=1,-180,0)</f>
        <v>-90.85937151787286</v>
      </c>
      <c r="H79" s="42">
        <f aca="true" t="shared" si="8" ref="H79:H99">IF(H101="",0,180/PI()*ATAN(H$31/H101))+IF(H$19=1,-180,0)</f>
        <v>0</v>
      </c>
    </row>
    <row r="80" spans="1:8" ht="12" customHeight="1">
      <c r="A80" s="82"/>
      <c r="B80" s="4">
        <v>40</v>
      </c>
      <c r="C80" s="5" t="s">
        <v>130</v>
      </c>
      <c r="D80" s="2" t="s">
        <v>124</v>
      </c>
      <c r="E80" s="42">
        <f t="shared" si="5"/>
        <v>-1.1457618706486221</v>
      </c>
      <c r="F80" s="42">
        <f t="shared" si="6"/>
        <v>0</v>
      </c>
      <c r="G80" s="42">
        <f t="shared" si="7"/>
        <v>-91.14576187064863</v>
      </c>
      <c r="H80" s="42">
        <f t="shared" si="8"/>
        <v>0</v>
      </c>
    </row>
    <row r="81" spans="1:8" ht="12" customHeight="1">
      <c r="A81" s="82"/>
      <c r="B81" s="4">
        <v>50</v>
      </c>
      <c r="C81" s="5" t="s">
        <v>130</v>
      </c>
      <c r="D81" s="2" t="s">
        <v>124</v>
      </c>
      <c r="E81" s="42">
        <f t="shared" si="5"/>
        <v>-1.4320949750284917</v>
      </c>
      <c r="F81" s="42">
        <f t="shared" si="6"/>
        <v>0</v>
      </c>
      <c r="G81" s="42">
        <f t="shared" si="7"/>
        <v>-91.43209497502849</v>
      </c>
      <c r="H81" s="42">
        <f t="shared" si="8"/>
        <v>0</v>
      </c>
    </row>
    <row r="82" spans="1:8" ht="12" customHeight="1">
      <c r="A82" s="82"/>
      <c r="B82" s="4">
        <v>70</v>
      </c>
      <c r="C82" s="5" t="s">
        <v>130</v>
      </c>
      <c r="D82" s="2" t="s">
        <v>124</v>
      </c>
      <c r="E82" s="42">
        <f t="shared" si="5"/>
        <v>-2.0045323403297184</v>
      </c>
      <c r="F82" s="42">
        <f t="shared" si="6"/>
        <v>0</v>
      </c>
      <c r="G82" s="42">
        <f t="shared" si="7"/>
        <v>-92.00453234032972</v>
      </c>
      <c r="H82" s="42">
        <f t="shared" si="8"/>
        <v>0</v>
      </c>
    </row>
    <row r="83" spans="1:8" ht="12" customHeight="1">
      <c r="A83" s="82"/>
      <c r="B83" s="4">
        <v>100</v>
      </c>
      <c r="C83" s="5" t="s">
        <v>130</v>
      </c>
      <c r="D83" s="2" t="s">
        <v>124</v>
      </c>
      <c r="E83" s="42">
        <f t="shared" si="5"/>
        <v>-2.8624028123623875</v>
      </c>
      <c r="F83" s="42">
        <f t="shared" si="6"/>
        <v>0</v>
      </c>
      <c r="G83" s="42">
        <f t="shared" si="7"/>
        <v>-92.86240281236239</v>
      </c>
      <c r="H83" s="42">
        <f t="shared" si="8"/>
        <v>0</v>
      </c>
    </row>
    <row r="84" spans="1:8" ht="12" customHeight="1">
      <c r="A84" s="82"/>
      <c r="B84" s="4">
        <v>150</v>
      </c>
      <c r="C84" s="5" t="s">
        <v>130</v>
      </c>
      <c r="D84" s="2" t="s">
        <v>124</v>
      </c>
      <c r="E84" s="42">
        <f t="shared" si="5"/>
        <v>-4.289149719446131</v>
      </c>
      <c r="F84" s="42">
        <f t="shared" si="6"/>
        <v>0</v>
      </c>
      <c r="G84" s="42">
        <f t="shared" si="7"/>
        <v>-94.28914971944613</v>
      </c>
      <c r="H84" s="42">
        <f t="shared" si="8"/>
        <v>0</v>
      </c>
    </row>
    <row r="85" spans="1:8" ht="12" customHeight="1">
      <c r="A85" s="82"/>
      <c r="B85" s="4">
        <v>200</v>
      </c>
      <c r="C85" s="5" t="s">
        <v>130</v>
      </c>
      <c r="D85" s="2" t="s">
        <v>124</v>
      </c>
      <c r="E85" s="42">
        <f t="shared" si="5"/>
        <v>-5.710588345848656</v>
      </c>
      <c r="F85" s="42">
        <f t="shared" si="6"/>
        <v>0</v>
      </c>
      <c r="G85" s="42">
        <f t="shared" si="7"/>
        <v>-95.71058834584865</v>
      </c>
      <c r="H85" s="42">
        <f t="shared" si="8"/>
        <v>0</v>
      </c>
    </row>
    <row r="86" spans="1:8" ht="12" customHeight="1">
      <c r="A86" s="82"/>
      <c r="B86" s="4">
        <v>300</v>
      </c>
      <c r="C86" s="5" t="s">
        <v>130</v>
      </c>
      <c r="D86" s="2" t="s">
        <v>124</v>
      </c>
      <c r="E86" s="42">
        <f t="shared" si="5"/>
        <v>-8.530758510338039</v>
      </c>
      <c r="F86" s="42">
        <f t="shared" si="6"/>
        <v>0</v>
      </c>
      <c r="G86" s="42">
        <f t="shared" si="7"/>
        <v>-98.53075851033803</v>
      </c>
      <c r="H86" s="42">
        <f t="shared" si="8"/>
        <v>0</v>
      </c>
    </row>
    <row r="87" spans="1:8" ht="12" customHeight="1">
      <c r="A87" s="82"/>
      <c r="B87" s="4">
        <v>400</v>
      </c>
      <c r="C87" s="5" t="s">
        <v>130</v>
      </c>
      <c r="D87" s="2" t="s">
        <v>124</v>
      </c>
      <c r="E87" s="42">
        <f t="shared" si="5"/>
        <v>-11.309923167159416</v>
      </c>
      <c r="F87" s="42">
        <f t="shared" si="6"/>
        <v>0</v>
      </c>
      <c r="G87" s="42">
        <f t="shared" si="7"/>
        <v>-101.30992316715941</v>
      </c>
      <c r="H87" s="42">
        <f t="shared" si="8"/>
        <v>0</v>
      </c>
    </row>
    <row r="88" spans="1:8" ht="12" customHeight="1">
      <c r="A88" s="82"/>
      <c r="B88" s="4">
        <v>500</v>
      </c>
      <c r="C88" s="5" t="s">
        <v>130</v>
      </c>
      <c r="D88" s="2" t="s">
        <v>124</v>
      </c>
      <c r="E88" s="42">
        <f t="shared" si="5"/>
        <v>-14.036232080708363</v>
      </c>
      <c r="F88" s="42">
        <f t="shared" si="6"/>
        <v>0</v>
      </c>
      <c r="G88" s="42">
        <f t="shared" si="7"/>
        <v>-104.03623208070836</v>
      </c>
      <c r="H88" s="42">
        <f t="shared" si="8"/>
        <v>0</v>
      </c>
    </row>
    <row r="89" spans="1:8" ht="12" customHeight="1">
      <c r="A89" s="82"/>
      <c r="B89" s="4">
        <v>700</v>
      </c>
      <c r="C89" s="5" t="s">
        <v>130</v>
      </c>
      <c r="D89" s="2" t="s">
        <v>124</v>
      </c>
      <c r="E89" s="42">
        <f t="shared" si="5"/>
        <v>-19.290031129221997</v>
      </c>
      <c r="F89" s="42">
        <f t="shared" si="6"/>
        <v>0</v>
      </c>
      <c r="G89" s="42">
        <f t="shared" si="7"/>
        <v>-109.290031129222</v>
      </c>
      <c r="H89" s="42">
        <f t="shared" si="8"/>
        <v>0</v>
      </c>
    </row>
    <row r="90" spans="1:8" ht="12" customHeight="1">
      <c r="A90" s="82"/>
      <c r="B90" s="4" t="s">
        <v>21</v>
      </c>
      <c r="C90" s="5" t="s">
        <v>130</v>
      </c>
      <c r="D90" s="2" t="s">
        <v>124</v>
      </c>
      <c r="E90" s="42">
        <f t="shared" si="5"/>
        <v>-26.565031818804886</v>
      </c>
      <c r="F90" s="42">
        <f t="shared" si="6"/>
        <v>0</v>
      </c>
      <c r="G90" s="42">
        <f t="shared" si="7"/>
        <v>-116.56503181880488</v>
      </c>
      <c r="H90" s="42">
        <f t="shared" si="8"/>
        <v>0</v>
      </c>
    </row>
    <row r="91" spans="1:8" ht="12" customHeight="1">
      <c r="A91" s="82"/>
      <c r="B91" s="4" t="s">
        <v>22</v>
      </c>
      <c r="C91" s="5" t="s">
        <v>130</v>
      </c>
      <c r="D91" s="2" t="s">
        <v>124</v>
      </c>
      <c r="E91" s="42">
        <f t="shared" si="5"/>
        <v>-36.86987441591316</v>
      </c>
      <c r="F91" s="42">
        <f t="shared" si="6"/>
        <v>0</v>
      </c>
      <c r="G91" s="42">
        <f t="shared" si="7"/>
        <v>-126.86987441591316</v>
      </c>
      <c r="H91" s="42">
        <f t="shared" si="8"/>
        <v>0</v>
      </c>
    </row>
    <row r="92" spans="1:8" ht="12" customHeight="1">
      <c r="A92" s="82"/>
      <c r="B92" s="4" t="s">
        <v>23</v>
      </c>
      <c r="C92" s="5" t="s">
        <v>130</v>
      </c>
      <c r="D92" s="2" t="s">
        <v>124</v>
      </c>
      <c r="E92" s="42">
        <f t="shared" si="5"/>
        <v>-44.99997580215249</v>
      </c>
      <c r="F92" s="42">
        <f t="shared" si="6"/>
        <v>0</v>
      </c>
      <c r="G92" s="42">
        <f t="shared" si="7"/>
        <v>-134.9999758021525</v>
      </c>
      <c r="H92" s="42">
        <f t="shared" si="8"/>
        <v>0</v>
      </c>
    </row>
    <row r="93" spans="1:8" ht="12" customHeight="1">
      <c r="A93" s="82"/>
      <c r="B93" s="4" t="s">
        <v>24</v>
      </c>
      <c r="C93" s="5" t="s">
        <v>130</v>
      </c>
      <c r="D93" s="2" t="s">
        <v>124</v>
      </c>
      <c r="E93" s="42">
        <f t="shared" si="5"/>
        <v>-56.30991013754196</v>
      </c>
      <c r="F93" s="42">
        <f t="shared" si="6"/>
        <v>0</v>
      </c>
      <c r="G93" s="42">
        <f t="shared" si="7"/>
        <v>-146.30991013754198</v>
      </c>
      <c r="H93" s="42">
        <f t="shared" si="8"/>
        <v>0</v>
      </c>
    </row>
    <row r="94" spans="1:8" ht="12" customHeight="1">
      <c r="A94" s="82"/>
      <c r="B94" s="4" t="s">
        <v>25</v>
      </c>
      <c r="C94" s="5" t="s">
        <v>130</v>
      </c>
      <c r="D94" s="2" t="s">
        <v>124</v>
      </c>
      <c r="E94" s="42">
        <f t="shared" si="5"/>
        <v>-63.434929464639104</v>
      </c>
      <c r="F94" s="42">
        <f t="shared" si="6"/>
        <v>0</v>
      </c>
      <c r="G94" s="42">
        <f t="shared" si="7"/>
        <v>-153.43492946463908</v>
      </c>
      <c r="H94" s="42">
        <f t="shared" si="8"/>
        <v>0</v>
      </c>
    </row>
    <row r="95" spans="1:8" ht="12" customHeight="1">
      <c r="A95" s="82"/>
      <c r="B95" s="4" t="s">
        <v>26</v>
      </c>
      <c r="C95" s="5" t="s">
        <v>130</v>
      </c>
      <c r="D95" s="2" t="s">
        <v>124</v>
      </c>
      <c r="E95" s="42">
        <f t="shared" si="5"/>
        <v>-68.1985738254724</v>
      </c>
      <c r="F95" s="42">
        <f t="shared" si="6"/>
        <v>0</v>
      </c>
      <c r="G95" s="42">
        <f t="shared" si="7"/>
        <v>-158.19857382547238</v>
      </c>
      <c r="H95" s="42">
        <f t="shared" si="8"/>
        <v>0</v>
      </c>
    </row>
    <row r="96" spans="1:8" ht="12" customHeight="1">
      <c r="A96" s="82"/>
      <c r="B96" s="4" t="s">
        <v>27</v>
      </c>
      <c r="C96" s="5" t="s">
        <v>130</v>
      </c>
      <c r="D96" s="2" t="s">
        <v>124</v>
      </c>
      <c r="E96" s="42">
        <f t="shared" si="5"/>
        <v>-74.05459131530407</v>
      </c>
      <c r="F96" s="42">
        <f t="shared" si="6"/>
        <v>0</v>
      </c>
      <c r="G96" s="42">
        <f t="shared" si="7"/>
        <v>-164.05459131530407</v>
      </c>
      <c r="H96" s="42">
        <f t="shared" si="8"/>
        <v>0</v>
      </c>
    </row>
    <row r="97" spans="1:8" ht="12" customHeight="1">
      <c r="A97" s="82"/>
      <c r="B97" s="4" t="s">
        <v>28</v>
      </c>
      <c r="C97" s="5" t="s">
        <v>130</v>
      </c>
      <c r="D97" s="2" t="s">
        <v>124</v>
      </c>
      <c r="E97" s="42">
        <f t="shared" si="5"/>
        <v>-78.69005821911173</v>
      </c>
      <c r="F97" s="42">
        <f t="shared" si="6"/>
        <v>0</v>
      </c>
      <c r="G97" s="42">
        <f t="shared" si="7"/>
        <v>-168.69005821911173</v>
      </c>
      <c r="H97" s="42">
        <f t="shared" si="8"/>
        <v>0</v>
      </c>
    </row>
    <row r="98" spans="1:8" ht="12" customHeight="1">
      <c r="A98" s="82"/>
      <c r="B98" s="4" t="s">
        <v>29</v>
      </c>
      <c r="C98" s="5" t="s">
        <v>130</v>
      </c>
      <c r="D98" s="2" t="s">
        <v>124</v>
      </c>
      <c r="E98" s="42">
        <f t="shared" si="5"/>
        <v>-82.40535029135859</v>
      </c>
      <c r="F98" s="42">
        <f t="shared" si="6"/>
        <v>0</v>
      </c>
      <c r="G98" s="42">
        <f t="shared" si="7"/>
        <v>-172.4053502913586</v>
      </c>
      <c r="H98" s="42">
        <f t="shared" si="8"/>
        <v>0</v>
      </c>
    </row>
    <row r="99" spans="1:8" ht="12" customHeight="1">
      <c r="A99" s="83"/>
      <c r="B99" s="4" t="s">
        <v>30</v>
      </c>
      <c r="C99" s="5" t="s">
        <v>130</v>
      </c>
      <c r="D99" s="2" t="s">
        <v>124</v>
      </c>
      <c r="E99" s="42">
        <f t="shared" si="5"/>
        <v>-84.28940207084541</v>
      </c>
      <c r="F99" s="42">
        <f t="shared" si="6"/>
        <v>0</v>
      </c>
      <c r="G99" s="42">
        <f t="shared" si="7"/>
        <v>-174.2894020708454</v>
      </c>
      <c r="H99" s="42">
        <f t="shared" si="8"/>
        <v>0</v>
      </c>
    </row>
    <row r="100" spans="1:8" ht="12" customHeight="1">
      <c r="A100" s="81" t="s">
        <v>202</v>
      </c>
      <c r="B100" s="4">
        <v>20</v>
      </c>
      <c r="C100" s="5" t="s">
        <v>130</v>
      </c>
      <c r="D100" s="2" t="s">
        <v>201</v>
      </c>
      <c r="E100" s="6">
        <f aca="true" t="shared" si="9" ref="E100:E121">IF(E$24="","",2*3.14159*$B100*E$24*0.001)</f>
        <v>0.059999949320168104</v>
      </c>
      <c r="F100" s="6">
        <f aca="true" t="shared" si="10" ref="F100:H121">IF(F$22="","",2*3.14159*$B100*F$22*0.001)</f>
      </c>
      <c r="G100" s="6">
        <f t="shared" si="10"/>
        <v>0.059999949320168104</v>
      </c>
      <c r="H100" s="6">
        <f t="shared" si="10"/>
      </c>
    </row>
    <row r="101" spans="1:8" ht="12" customHeight="1">
      <c r="A101" s="82"/>
      <c r="B101" s="4">
        <v>30</v>
      </c>
      <c r="C101" s="5" t="s">
        <v>130</v>
      </c>
      <c r="D101" s="2" t="s">
        <v>201</v>
      </c>
      <c r="E101" s="6">
        <f t="shared" si="9"/>
        <v>0.08999992398025215</v>
      </c>
      <c r="F101" s="6">
        <f t="shared" si="10"/>
      </c>
      <c r="G101" s="6">
        <f t="shared" si="10"/>
        <v>0.08999992398025215</v>
      </c>
      <c r="H101" s="6">
        <f t="shared" si="10"/>
      </c>
    </row>
    <row r="102" spans="1:8" ht="12" customHeight="1">
      <c r="A102" s="82"/>
      <c r="B102" s="4">
        <v>40</v>
      </c>
      <c r="C102" s="5" t="s">
        <v>130</v>
      </c>
      <c r="D102" s="2" t="s">
        <v>201</v>
      </c>
      <c r="E102" s="6">
        <f t="shared" si="9"/>
        <v>0.11999989864033621</v>
      </c>
      <c r="F102" s="6">
        <f t="shared" si="10"/>
      </c>
      <c r="G102" s="6">
        <f t="shared" si="10"/>
        <v>0.11999989864033621</v>
      </c>
      <c r="H102" s="6">
        <f t="shared" si="10"/>
      </c>
    </row>
    <row r="103" spans="1:8" ht="12" customHeight="1">
      <c r="A103" s="82"/>
      <c r="B103" s="4">
        <v>50</v>
      </c>
      <c r="C103" s="5" t="s">
        <v>130</v>
      </c>
      <c r="D103" s="2" t="s">
        <v>201</v>
      </c>
      <c r="E103" s="6">
        <f t="shared" si="9"/>
        <v>0.14999987330042028</v>
      </c>
      <c r="F103" s="6">
        <f t="shared" si="10"/>
      </c>
      <c r="G103" s="6">
        <f t="shared" si="10"/>
        <v>0.14999987330042028</v>
      </c>
      <c r="H103" s="6">
        <f t="shared" si="10"/>
      </c>
    </row>
    <row r="104" spans="1:8" ht="12" customHeight="1">
      <c r="A104" s="82"/>
      <c r="B104" s="4">
        <v>70</v>
      </c>
      <c r="C104" s="5" t="s">
        <v>130</v>
      </c>
      <c r="D104" s="2" t="s">
        <v>201</v>
      </c>
      <c r="E104" s="6">
        <f t="shared" si="9"/>
        <v>0.20999982262058833</v>
      </c>
      <c r="F104" s="6">
        <f t="shared" si="10"/>
      </c>
      <c r="G104" s="6">
        <f t="shared" si="10"/>
        <v>0.20999982262058833</v>
      </c>
      <c r="H104" s="6">
        <f t="shared" si="10"/>
      </c>
    </row>
    <row r="105" spans="1:8" ht="12" customHeight="1">
      <c r="A105" s="82"/>
      <c r="B105" s="4">
        <v>100</v>
      </c>
      <c r="C105" s="5" t="s">
        <v>130</v>
      </c>
      <c r="D105" s="2" t="s">
        <v>201</v>
      </c>
      <c r="E105" s="6">
        <f t="shared" si="9"/>
        <v>0.29999974660084056</v>
      </c>
      <c r="F105" s="6">
        <f t="shared" si="10"/>
      </c>
      <c r="G105" s="6">
        <f t="shared" si="10"/>
        <v>0.29999974660084056</v>
      </c>
      <c r="H105" s="6">
        <f t="shared" si="10"/>
      </c>
    </row>
    <row r="106" spans="1:8" ht="12" customHeight="1">
      <c r="A106" s="82"/>
      <c r="B106" s="4">
        <v>150</v>
      </c>
      <c r="C106" s="5" t="s">
        <v>130</v>
      </c>
      <c r="D106" s="2" t="s">
        <v>201</v>
      </c>
      <c r="E106" s="6">
        <f t="shared" si="9"/>
        <v>0.44999961990126075</v>
      </c>
      <c r="F106" s="6">
        <f t="shared" si="10"/>
      </c>
      <c r="G106" s="6">
        <f t="shared" si="10"/>
        <v>0.44999961990126075</v>
      </c>
      <c r="H106" s="6">
        <f t="shared" si="10"/>
      </c>
    </row>
    <row r="107" spans="1:8" ht="12" customHeight="1">
      <c r="A107" s="82"/>
      <c r="B107" s="4">
        <v>200</v>
      </c>
      <c r="C107" s="5" t="s">
        <v>130</v>
      </c>
      <c r="D107" s="2" t="s">
        <v>201</v>
      </c>
      <c r="E107" s="6">
        <f t="shared" si="9"/>
        <v>0.5999994932016811</v>
      </c>
      <c r="F107" s="6">
        <f t="shared" si="10"/>
      </c>
      <c r="G107" s="6">
        <f t="shared" si="10"/>
        <v>0.5999994932016811</v>
      </c>
      <c r="H107" s="6">
        <f t="shared" si="10"/>
      </c>
    </row>
    <row r="108" spans="1:8" ht="12" customHeight="1">
      <c r="A108" s="82"/>
      <c r="B108" s="4">
        <v>300</v>
      </c>
      <c r="C108" s="5" t="s">
        <v>130</v>
      </c>
      <c r="D108" s="2" t="s">
        <v>201</v>
      </c>
      <c r="E108" s="6">
        <f t="shared" si="9"/>
        <v>0.8999992398025215</v>
      </c>
      <c r="F108" s="6">
        <f t="shared" si="10"/>
      </c>
      <c r="G108" s="6">
        <f t="shared" si="10"/>
        <v>0.8999992398025215</v>
      </c>
      <c r="H108" s="6">
        <f t="shared" si="10"/>
      </c>
    </row>
    <row r="109" spans="1:8" ht="12" customHeight="1">
      <c r="A109" s="82"/>
      <c r="B109" s="4">
        <v>400</v>
      </c>
      <c r="C109" s="5" t="s">
        <v>130</v>
      </c>
      <c r="D109" s="2" t="s">
        <v>201</v>
      </c>
      <c r="E109" s="6">
        <f t="shared" si="9"/>
        <v>1.1999989864033622</v>
      </c>
      <c r="F109" s="6">
        <f t="shared" si="10"/>
      </c>
      <c r="G109" s="6">
        <f t="shared" si="10"/>
        <v>1.1999989864033622</v>
      </c>
      <c r="H109" s="6">
        <f t="shared" si="10"/>
      </c>
    </row>
    <row r="110" spans="1:8" ht="12" customHeight="1">
      <c r="A110" s="82"/>
      <c r="B110" s="4">
        <v>500</v>
      </c>
      <c r="C110" s="5" t="s">
        <v>130</v>
      </c>
      <c r="D110" s="2" t="s">
        <v>201</v>
      </c>
      <c r="E110" s="6">
        <f t="shared" si="9"/>
        <v>1.4999987330042024</v>
      </c>
      <c r="F110" s="6">
        <f t="shared" si="10"/>
      </c>
      <c r="G110" s="6">
        <f t="shared" si="10"/>
        <v>1.4999987330042024</v>
      </c>
      <c r="H110" s="6">
        <f t="shared" si="10"/>
      </c>
    </row>
    <row r="111" spans="1:8" ht="12" customHeight="1">
      <c r="A111" s="82"/>
      <c r="B111" s="4">
        <v>700</v>
      </c>
      <c r="C111" s="5" t="s">
        <v>130</v>
      </c>
      <c r="D111" s="2" t="s">
        <v>201</v>
      </c>
      <c r="E111" s="6">
        <f t="shared" si="9"/>
        <v>2.0999982262058836</v>
      </c>
      <c r="F111" s="6">
        <f t="shared" si="10"/>
      </c>
      <c r="G111" s="6">
        <f t="shared" si="10"/>
        <v>2.0999982262058836</v>
      </c>
      <c r="H111" s="6">
        <f t="shared" si="10"/>
      </c>
    </row>
    <row r="112" spans="1:8" ht="12" customHeight="1">
      <c r="A112" s="82"/>
      <c r="B112" s="4">
        <v>1000</v>
      </c>
      <c r="C112" s="5" t="s">
        <v>130</v>
      </c>
      <c r="D112" s="2" t="s">
        <v>201</v>
      </c>
      <c r="E112" s="6">
        <f t="shared" si="9"/>
        <v>2.999997466008405</v>
      </c>
      <c r="F112" s="6">
        <f t="shared" si="10"/>
      </c>
      <c r="G112" s="6">
        <f t="shared" si="10"/>
        <v>2.999997466008405</v>
      </c>
      <c r="H112" s="6">
        <f t="shared" si="10"/>
      </c>
    </row>
    <row r="113" spans="1:8" ht="12" customHeight="1">
      <c r="A113" s="82"/>
      <c r="B113" s="4">
        <v>1500</v>
      </c>
      <c r="C113" s="5" t="s">
        <v>130</v>
      </c>
      <c r="D113" s="2" t="s">
        <v>201</v>
      </c>
      <c r="E113" s="6">
        <f t="shared" si="9"/>
        <v>4.499996199012608</v>
      </c>
      <c r="F113" s="6">
        <f t="shared" si="10"/>
      </c>
      <c r="G113" s="6">
        <f t="shared" si="10"/>
        <v>4.499996199012608</v>
      </c>
      <c r="H113" s="6">
        <f t="shared" si="10"/>
      </c>
    </row>
    <row r="114" spans="1:8" ht="12" customHeight="1">
      <c r="A114" s="82"/>
      <c r="B114" s="4">
        <v>2000</v>
      </c>
      <c r="C114" s="5" t="s">
        <v>130</v>
      </c>
      <c r="D114" s="2" t="s">
        <v>201</v>
      </c>
      <c r="E114" s="6">
        <f t="shared" si="9"/>
        <v>5.99999493201681</v>
      </c>
      <c r="F114" s="6">
        <f t="shared" si="10"/>
      </c>
      <c r="G114" s="6">
        <f t="shared" si="10"/>
        <v>5.99999493201681</v>
      </c>
      <c r="H114" s="6">
        <f t="shared" si="10"/>
      </c>
    </row>
    <row r="115" spans="1:8" ht="12" customHeight="1">
      <c r="A115" s="82"/>
      <c r="B115" s="4">
        <v>3000</v>
      </c>
      <c r="C115" s="5" t="s">
        <v>130</v>
      </c>
      <c r="D115" s="2" t="s">
        <v>201</v>
      </c>
      <c r="E115" s="6">
        <f t="shared" si="9"/>
        <v>8.999992398025215</v>
      </c>
      <c r="F115" s="6">
        <f t="shared" si="10"/>
      </c>
      <c r="G115" s="6">
        <f t="shared" si="10"/>
        <v>8.999992398025215</v>
      </c>
      <c r="H115" s="6">
        <f t="shared" si="10"/>
      </c>
    </row>
    <row r="116" spans="1:8" ht="12" customHeight="1">
      <c r="A116" s="82"/>
      <c r="B116" s="4">
        <v>4000</v>
      </c>
      <c r="C116" s="5" t="s">
        <v>130</v>
      </c>
      <c r="D116" s="2" t="s">
        <v>201</v>
      </c>
      <c r="E116" s="6">
        <f t="shared" si="9"/>
        <v>11.99998986403362</v>
      </c>
      <c r="F116" s="6">
        <f t="shared" si="10"/>
      </c>
      <c r="G116" s="6">
        <f t="shared" si="10"/>
        <v>11.99998986403362</v>
      </c>
      <c r="H116" s="6">
        <f t="shared" si="10"/>
      </c>
    </row>
    <row r="117" spans="1:8" ht="12" customHeight="1">
      <c r="A117" s="82"/>
      <c r="B117" s="4">
        <v>5000</v>
      </c>
      <c r="C117" s="5" t="s">
        <v>130</v>
      </c>
      <c r="D117" s="2" t="s">
        <v>201</v>
      </c>
      <c r="E117" s="6">
        <f t="shared" si="9"/>
        <v>14.999987330042025</v>
      </c>
      <c r="F117" s="6">
        <f t="shared" si="10"/>
      </c>
      <c r="G117" s="6">
        <f t="shared" si="10"/>
        <v>14.999987330042025</v>
      </c>
      <c r="H117" s="6">
        <f t="shared" si="10"/>
      </c>
    </row>
    <row r="118" spans="1:8" ht="12" customHeight="1">
      <c r="A118" s="82"/>
      <c r="B118" s="4">
        <v>7000</v>
      </c>
      <c r="C118" s="5" t="s">
        <v>130</v>
      </c>
      <c r="D118" s="2" t="s">
        <v>201</v>
      </c>
      <c r="E118" s="6">
        <f t="shared" si="9"/>
        <v>20.999982262058836</v>
      </c>
      <c r="F118" s="6">
        <f t="shared" si="10"/>
      </c>
      <c r="G118" s="6">
        <f t="shared" si="10"/>
        <v>20.999982262058836</v>
      </c>
      <c r="H118" s="6">
        <f t="shared" si="10"/>
      </c>
    </row>
    <row r="119" spans="1:8" ht="12" customHeight="1">
      <c r="A119" s="82"/>
      <c r="B119" s="4">
        <v>10000</v>
      </c>
      <c r="C119" s="5" t="s">
        <v>130</v>
      </c>
      <c r="D119" s="2" t="s">
        <v>201</v>
      </c>
      <c r="E119" s="6">
        <f t="shared" si="9"/>
        <v>29.99997466008405</v>
      </c>
      <c r="F119" s="6">
        <f t="shared" si="10"/>
      </c>
      <c r="G119" s="6">
        <f t="shared" si="10"/>
        <v>29.99997466008405</v>
      </c>
      <c r="H119" s="6">
        <f t="shared" si="10"/>
      </c>
    </row>
    <row r="120" spans="1:8" ht="12" customHeight="1">
      <c r="A120" s="82"/>
      <c r="B120" s="4">
        <v>15000</v>
      </c>
      <c r="C120" s="5" t="s">
        <v>130</v>
      </c>
      <c r="D120" s="2" t="s">
        <v>201</v>
      </c>
      <c r="E120" s="6">
        <f t="shared" si="9"/>
        <v>44.999961990126074</v>
      </c>
      <c r="F120" s="6">
        <f t="shared" si="10"/>
      </c>
      <c r="G120" s="6">
        <f t="shared" si="10"/>
        <v>44.999961990126074</v>
      </c>
      <c r="H120" s="6">
        <f t="shared" si="10"/>
      </c>
    </row>
    <row r="121" spans="1:8" ht="12" customHeight="1">
      <c r="A121" s="83"/>
      <c r="B121" s="4">
        <v>20000</v>
      </c>
      <c r="C121" s="5" t="s">
        <v>130</v>
      </c>
      <c r="D121" s="2" t="s">
        <v>201</v>
      </c>
      <c r="E121" s="6">
        <f t="shared" si="9"/>
        <v>59.9999493201681</v>
      </c>
      <c r="F121" s="6">
        <f t="shared" si="10"/>
      </c>
      <c r="G121" s="6">
        <f t="shared" si="10"/>
        <v>59.9999493201681</v>
      </c>
      <c r="H121" s="6">
        <f t="shared" si="10"/>
      </c>
    </row>
    <row r="122" spans="1:8" ht="12" customHeight="1">
      <c r="A122" s="81" t="s">
        <v>203</v>
      </c>
      <c r="B122" s="4">
        <v>20</v>
      </c>
      <c r="C122" s="5" t="s">
        <v>130</v>
      </c>
      <c r="D122" s="2" t="s">
        <v>201</v>
      </c>
      <c r="E122" s="6">
        <f aca="true" t="shared" si="11" ref="E122:E143">IF(E$25="","",1/(2*3.14159*$B100*E$25/1000000))</f>
        <v>600.0005067987471</v>
      </c>
      <c r="F122" s="6">
        <f aca="true" t="shared" si="12" ref="F122:H143">IF(F$23="","",1/(2*3.14159*$B100*F$23/1000000))</f>
      </c>
      <c r="G122" s="6">
        <f t="shared" si="12"/>
        <v>600.0005067987471</v>
      </c>
      <c r="H122" s="6">
        <f t="shared" si="12"/>
      </c>
    </row>
    <row r="123" spans="1:8" ht="12" customHeight="1">
      <c r="A123" s="82"/>
      <c r="B123" s="4">
        <v>30</v>
      </c>
      <c r="C123" s="5" t="s">
        <v>130</v>
      </c>
      <c r="D123" s="2" t="s">
        <v>201</v>
      </c>
      <c r="E123" s="6">
        <f t="shared" si="11"/>
        <v>400.0003378658314</v>
      </c>
      <c r="F123" s="6">
        <f t="shared" si="12"/>
      </c>
      <c r="G123" s="6">
        <f t="shared" si="12"/>
        <v>400.0003378658314</v>
      </c>
      <c r="H123" s="6">
        <f t="shared" si="12"/>
      </c>
    </row>
    <row r="124" spans="1:8" ht="12" customHeight="1">
      <c r="A124" s="82"/>
      <c r="B124" s="4">
        <v>40</v>
      </c>
      <c r="C124" s="5" t="s">
        <v>130</v>
      </c>
      <c r="D124" s="2" t="s">
        <v>201</v>
      </c>
      <c r="E124" s="6">
        <f t="shared" si="11"/>
        <v>300.00025339937355</v>
      </c>
      <c r="F124" s="6">
        <f t="shared" si="12"/>
      </c>
      <c r="G124" s="6">
        <f t="shared" si="12"/>
        <v>300.00025339937355</v>
      </c>
      <c r="H124" s="6">
        <f t="shared" si="12"/>
      </c>
    </row>
    <row r="125" spans="1:8" ht="12" customHeight="1">
      <c r="A125" s="82"/>
      <c r="B125" s="4">
        <v>50</v>
      </c>
      <c r="C125" s="5" t="s">
        <v>130</v>
      </c>
      <c r="D125" s="2" t="s">
        <v>201</v>
      </c>
      <c r="E125" s="6">
        <f t="shared" si="11"/>
        <v>240.00020271949882</v>
      </c>
      <c r="F125" s="6">
        <f t="shared" si="12"/>
      </c>
      <c r="G125" s="6">
        <f t="shared" si="12"/>
        <v>240.00020271949882</v>
      </c>
      <c r="H125" s="6">
        <f t="shared" si="12"/>
      </c>
    </row>
    <row r="126" spans="1:8" ht="12" customHeight="1">
      <c r="A126" s="82"/>
      <c r="B126" s="4">
        <v>70</v>
      </c>
      <c r="C126" s="5" t="s">
        <v>130</v>
      </c>
      <c r="D126" s="2" t="s">
        <v>201</v>
      </c>
      <c r="E126" s="6">
        <f t="shared" si="11"/>
        <v>171.4287162282135</v>
      </c>
      <c r="F126" s="6">
        <f t="shared" si="12"/>
      </c>
      <c r="G126" s="6">
        <f t="shared" si="12"/>
        <v>171.4287162282135</v>
      </c>
      <c r="H126" s="6">
        <f t="shared" si="12"/>
      </c>
    </row>
    <row r="127" spans="1:8" ht="12" customHeight="1">
      <c r="A127" s="82"/>
      <c r="B127" s="4">
        <v>100</v>
      </c>
      <c r="C127" s="5" t="s">
        <v>130</v>
      </c>
      <c r="D127" s="2" t="s">
        <v>201</v>
      </c>
      <c r="E127" s="6">
        <f t="shared" si="11"/>
        <v>120.00010135974941</v>
      </c>
      <c r="F127" s="6">
        <f t="shared" si="12"/>
      </c>
      <c r="G127" s="6">
        <f t="shared" si="12"/>
        <v>120.00010135974941</v>
      </c>
      <c r="H127" s="6">
        <f t="shared" si="12"/>
      </c>
    </row>
    <row r="128" spans="1:8" ht="12" customHeight="1">
      <c r="A128" s="82"/>
      <c r="B128" s="4">
        <v>150</v>
      </c>
      <c r="C128" s="5" t="s">
        <v>130</v>
      </c>
      <c r="D128" s="2" t="s">
        <v>201</v>
      </c>
      <c r="E128" s="6">
        <f t="shared" si="11"/>
        <v>80.00006757316628</v>
      </c>
      <c r="F128" s="6">
        <f t="shared" si="12"/>
      </c>
      <c r="G128" s="6">
        <f t="shared" si="12"/>
        <v>80.00006757316628</v>
      </c>
      <c r="H128" s="6">
        <f t="shared" si="12"/>
      </c>
    </row>
    <row r="129" spans="1:8" ht="12" customHeight="1">
      <c r="A129" s="82"/>
      <c r="B129" s="4">
        <v>200</v>
      </c>
      <c r="C129" s="5" t="s">
        <v>130</v>
      </c>
      <c r="D129" s="2" t="s">
        <v>201</v>
      </c>
      <c r="E129" s="6">
        <f t="shared" si="11"/>
        <v>60.000050679874704</v>
      </c>
      <c r="F129" s="6">
        <f t="shared" si="12"/>
      </c>
      <c r="G129" s="6">
        <f t="shared" si="12"/>
        <v>60.000050679874704</v>
      </c>
      <c r="H129" s="6">
        <f t="shared" si="12"/>
      </c>
    </row>
    <row r="130" spans="1:8" ht="12" customHeight="1">
      <c r="A130" s="82"/>
      <c r="B130" s="4">
        <v>300</v>
      </c>
      <c r="C130" s="5" t="s">
        <v>130</v>
      </c>
      <c r="D130" s="2" t="s">
        <v>201</v>
      </c>
      <c r="E130" s="6">
        <f t="shared" si="11"/>
        <v>40.00003378658314</v>
      </c>
      <c r="F130" s="6">
        <f t="shared" si="12"/>
      </c>
      <c r="G130" s="6">
        <f t="shared" si="12"/>
        <v>40.00003378658314</v>
      </c>
      <c r="H130" s="6">
        <f t="shared" si="12"/>
      </c>
    </row>
    <row r="131" spans="1:8" ht="12" customHeight="1">
      <c r="A131" s="82"/>
      <c r="B131" s="4">
        <v>400</v>
      </c>
      <c r="C131" s="5" t="s">
        <v>130</v>
      </c>
      <c r="D131" s="2" t="s">
        <v>201</v>
      </c>
      <c r="E131" s="6">
        <f t="shared" si="11"/>
        <v>30.000025339937352</v>
      </c>
      <c r="F131" s="6">
        <f t="shared" si="12"/>
      </c>
      <c r="G131" s="6">
        <f t="shared" si="12"/>
        <v>30.000025339937352</v>
      </c>
      <c r="H131" s="6">
        <f t="shared" si="12"/>
      </c>
    </row>
    <row r="132" spans="1:8" ht="12" customHeight="1">
      <c r="A132" s="82"/>
      <c r="B132" s="4">
        <v>500</v>
      </c>
      <c r="C132" s="5" t="s">
        <v>130</v>
      </c>
      <c r="D132" s="2" t="s">
        <v>201</v>
      </c>
      <c r="E132" s="6">
        <f t="shared" si="11"/>
        <v>24.00002027194989</v>
      </c>
      <c r="F132" s="6">
        <f t="shared" si="12"/>
      </c>
      <c r="G132" s="6">
        <f t="shared" si="12"/>
        <v>24.00002027194989</v>
      </c>
      <c r="H132" s="6">
        <f t="shared" si="12"/>
      </c>
    </row>
    <row r="133" spans="1:8" ht="12" customHeight="1">
      <c r="A133" s="82"/>
      <c r="B133" s="4">
        <v>700</v>
      </c>
      <c r="C133" s="5" t="s">
        <v>130</v>
      </c>
      <c r="D133" s="2" t="s">
        <v>201</v>
      </c>
      <c r="E133" s="6">
        <f t="shared" si="11"/>
        <v>17.142871622821346</v>
      </c>
      <c r="F133" s="6">
        <f t="shared" si="12"/>
      </c>
      <c r="G133" s="6">
        <f t="shared" si="12"/>
        <v>17.142871622821346</v>
      </c>
      <c r="H133" s="6">
        <f t="shared" si="12"/>
      </c>
    </row>
    <row r="134" spans="1:8" ht="12" customHeight="1">
      <c r="A134" s="82"/>
      <c r="B134" s="4" t="s">
        <v>53</v>
      </c>
      <c r="C134" s="5" t="s">
        <v>130</v>
      </c>
      <c r="D134" s="2" t="s">
        <v>201</v>
      </c>
      <c r="E134" s="6">
        <f t="shared" si="11"/>
        <v>12.000010135974945</v>
      </c>
      <c r="F134" s="6">
        <f t="shared" si="12"/>
      </c>
      <c r="G134" s="6">
        <f t="shared" si="12"/>
        <v>12.000010135974945</v>
      </c>
      <c r="H134" s="6">
        <f t="shared" si="12"/>
      </c>
    </row>
    <row r="135" spans="1:8" ht="12" customHeight="1">
      <c r="A135" s="82"/>
      <c r="B135" s="4" t="s">
        <v>54</v>
      </c>
      <c r="C135" s="5" t="s">
        <v>130</v>
      </c>
      <c r="D135" s="2" t="s">
        <v>201</v>
      </c>
      <c r="E135" s="6">
        <f t="shared" si="11"/>
        <v>8.000006757316628</v>
      </c>
      <c r="F135" s="6">
        <f t="shared" si="12"/>
      </c>
      <c r="G135" s="6">
        <f t="shared" si="12"/>
        <v>8.000006757316628</v>
      </c>
      <c r="H135" s="6">
        <f t="shared" si="12"/>
      </c>
    </row>
    <row r="136" spans="1:8" ht="12" customHeight="1">
      <c r="A136" s="82"/>
      <c r="B136" s="4" t="s">
        <v>55</v>
      </c>
      <c r="C136" s="5" t="s">
        <v>130</v>
      </c>
      <c r="D136" s="2" t="s">
        <v>201</v>
      </c>
      <c r="E136" s="6">
        <f t="shared" si="11"/>
        <v>6.000005067987472</v>
      </c>
      <c r="F136" s="6">
        <f t="shared" si="12"/>
      </c>
      <c r="G136" s="6">
        <f t="shared" si="12"/>
        <v>6.000005067987472</v>
      </c>
      <c r="H136" s="6">
        <f t="shared" si="12"/>
      </c>
    </row>
    <row r="137" spans="1:8" ht="12" customHeight="1">
      <c r="A137" s="82"/>
      <c r="B137" s="4" t="s">
        <v>56</v>
      </c>
      <c r="C137" s="5" t="s">
        <v>130</v>
      </c>
      <c r="D137" s="2" t="s">
        <v>201</v>
      </c>
      <c r="E137" s="6">
        <f t="shared" si="11"/>
        <v>4.000003378658314</v>
      </c>
      <c r="F137" s="6">
        <f t="shared" si="12"/>
      </c>
      <c r="G137" s="6">
        <f t="shared" si="12"/>
        <v>4.000003378658314</v>
      </c>
      <c r="H137" s="6">
        <f t="shared" si="12"/>
      </c>
    </row>
    <row r="138" spans="1:8" ht="12" customHeight="1">
      <c r="A138" s="82"/>
      <c r="B138" s="4" t="s">
        <v>57</v>
      </c>
      <c r="C138" s="5" t="s">
        <v>130</v>
      </c>
      <c r="D138" s="2" t="s">
        <v>201</v>
      </c>
      <c r="E138" s="6">
        <f t="shared" si="11"/>
        <v>3.000002533993736</v>
      </c>
      <c r="F138" s="6">
        <f t="shared" si="12"/>
      </c>
      <c r="G138" s="6">
        <f t="shared" si="12"/>
        <v>3.000002533993736</v>
      </c>
      <c r="H138" s="6">
        <f t="shared" si="12"/>
      </c>
    </row>
    <row r="139" spans="1:8" ht="12" customHeight="1">
      <c r="A139" s="82"/>
      <c r="B139" s="4" t="s">
        <v>58</v>
      </c>
      <c r="C139" s="5" t="s">
        <v>130</v>
      </c>
      <c r="D139" s="2" t="s">
        <v>201</v>
      </c>
      <c r="E139" s="6">
        <f t="shared" si="11"/>
        <v>2.4000020271949887</v>
      </c>
      <c r="F139" s="6">
        <f t="shared" si="12"/>
      </c>
      <c r="G139" s="6">
        <f t="shared" si="12"/>
        <v>2.4000020271949887</v>
      </c>
      <c r="H139" s="6">
        <f t="shared" si="12"/>
      </c>
    </row>
    <row r="140" spans="1:8" ht="12" customHeight="1">
      <c r="A140" s="82"/>
      <c r="B140" s="4" t="s">
        <v>59</v>
      </c>
      <c r="C140" s="5" t="s">
        <v>130</v>
      </c>
      <c r="D140" s="2" t="s">
        <v>201</v>
      </c>
      <c r="E140" s="6">
        <f t="shared" si="11"/>
        <v>1.7142871622821347</v>
      </c>
      <c r="F140" s="6">
        <f t="shared" si="12"/>
      </c>
      <c r="G140" s="6">
        <f t="shared" si="12"/>
        <v>1.7142871622821347</v>
      </c>
      <c r="H140" s="6">
        <f t="shared" si="12"/>
      </c>
    </row>
    <row r="141" spans="1:8" ht="12" customHeight="1">
      <c r="A141" s="82"/>
      <c r="B141" s="4" t="s">
        <v>60</v>
      </c>
      <c r="C141" s="5" t="s">
        <v>130</v>
      </c>
      <c r="D141" s="2" t="s">
        <v>201</v>
      </c>
      <c r="E141" s="6">
        <f t="shared" si="11"/>
        <v>1.2000010135974943</v>
      </c>
      <c r="F141" s="6">
        <f t="shared" si="12"/>
      </c>
      <c r="G141" s="6">
        <f t="shared" si="12"/>
        <v>1.2000010135974943</v>
      </c>
      <c r="H141" s="6">
        <f t="shared" si="12"/>
      </c>
    </row>
    <row r="142" spans="1:8" ht="12" customHeight="1">
      <c r="A142" s="82"/>
      <c r="B142" s="4" t="s">
        <v>61</v>
      </c>
      <c r="C142" s="5" t="s">
        <v>130</v>
      </c>
      <c r="D142" s="2" t="s">
        <v>201</v>
      </c>
      <c r="E142" s="6">
        <f t="shared" si="11"/>
        <v>0.8000006757316627</v>
      </c>
      <c r="F142" s="6">
        <f t="shared" si="12"/>
      </c>
      <c r="G142" s="6">
        <f t="shared" si="12"/>
        <v>0.8000006757316627</v>
      </c>
      <c r="H142" s="6">
        <f t="shared" si="12"/>
      </c>
    </row>
    <row r="143" spans="1:8" ht="12" customHeight="1">
      <c r="A143" s="83"/>
      <c r="B143" s="4" t="s">
        <v>62</v>
      </c>
      <c r="C143" s="5" t="s">
        <v>130</v>
      </c>
      <c r="D143" s="2" t="s">
        <v>201</v>
      </c>
      <c r="E143" s="6">
        <f t="shared" si="11"/>
        <v>0.6000005067987472</v>
      </c>
      <c r="F143" s="6">
        <f t="shared" si="12"/>
      </c>
      <c r="G143" s="6">
        <f t="shared" si="12"/>
        <v>0.6000005067987472</v>
      </c>
      <c r="H143" s="6">
        <f t="shared" si="12"/>
      </c>
    </row>
    <row r="144" spans="1:8" ht="12" customHeight="1">
      <c r="A144" s="81" t="s">
        <v>204</v>
      </c>
      <c r="B144" s="4">
        <v>20</v>
      </c>
      <c r="C144" s="5" t="s">
        <v>130</v>
      </c>
      <c r="D144" s="2" t="s">
        <v>201</v>
      </c>
      <c r="E144" s="6">
        <f aca="true" t="shared" si="13" ref="E144:F165">IF(E$24="","",2*3.14159*$B100*E$24*0.001)</f>
        <v>0.059999949320168104</v>
      </c>
      <c r="F144" s="6">
        <f t="shared" si="13"/>
      </c>
      <c r="G144" s="6">
        <f aca="true" t="shared" si="14" ref="G144:H165">IF(G$24="","",2*3.14159*$B100*G$24*0.001)</f>
      </c>
      <c r="H144" s="6">
        <f t="shared" si="14"/>
      </c>
    </row>
    <row r="145" spans="1:8" ht="12" customHeight="1">
      <c r="A145" s="82"/>
      <c r="B145" s="4">
        <v>30</v>
      </c>
      <c r="C145" s="5" t="s">
        <v>130</v>
      </c>
      <c r="D145" s="2" t="s">
        <v>201</v>
      </c>
      <c r="E145" s="6">
        <f t="shared" si="13"/>
        <v>0.08999992398025215</v>
      </c>
      <c r="F145" s="6">
        <f t="shared" si="13"/>
      </c>
      <c r="G145" s="6">
        <f t="shared" si="14"/>
      </c>
      <c r="H145" s="6">
        <f t="shared" si="14"/>
      </c>
    </row>
    <row r="146" spans="1:8" ht="12" customHeight="1">
      <c r="A146" s="82"/>
      <c r="B146" s="4">
        <v>40</v>
      </c>
      <c r="C146" s="5" t="s">
        <v>130</v>
      </c>
      <c r="D146" s="2" t="s">
        <v>201</v>
      </c>
      <c r="E146" s="6">
        <f t="shared" si="13"/>
        <v>0.11999989864033621</v>
      </c>
      <c r="F146" s="6">
        <f t="shared" si="13"/>
      </c>
      <c r="G146" s="6">
        <f t="shared" si="14"/>
      </c>
      <c r="H146" s="6">
        <f t="shared" si="14"/>
      </c>
    </row>
    <row r="147" spans="1:8" ht="12" customHeight="1">
      <c r="A147" s="82"/>
      <c r="B147" s="4">
        <v>50</v>
      </c>
      <c r="C147" s="5" t="s">
        <v>130</v>
      </c>
      <c r="D147" s="2" t="s">
        <v>201</v>
      </c>
      <c r="E147" s="6">
        <f t="shared" si="13"/>
        <v>0.14999987330042028</v>
      </c>
      <c r="F147" s="6">
        <f t="shared" si="13"/>
      </c>
      <c r="G147" s="6">
        <f t="shared" si="14"/>
      </c>
      <c r="H147" s="6">
        <f t="shared" si="14"/>
      </c>
    </row>
    <row r="148" spans="1:8" ht="12" customHeight="1">
      <c r="A148" s="82"/>
      <c r="B148" s="4">
        <v>70</v>
      </c>
      <c r="C148" s="5" t="s">
        <v>130</v>
      </c>
      <c r="D148" s="2" t="s">
        <v>201</v>
      </c>
      <c r="E148" s="6">
        <f t="shared" si="13"/>
        <v>0.20999982262058833</v>
      </c>
      <c r="F148" s="6">
        <f t="shared" si="13"/>
      </c>
      <c r="G148" s="6">
        <f t="shared" si="14"/>
      </c>
      <c r="H148" s="6">
        <f t="shared" si="14"/>
      </c>
    </row>
    <row r="149" spans="1:8" ht="12" customHeight="1">
      <c r="A149" s="82"/>
      <c r="B149" s="4">
        <v>100</v>
      </c>
      <c r="C149" s="5" t="s">
        <v>130</v>
      </c>
      <c r="D149" s="2" t="s">
        <v>201</v>
      </c>
      <c r="E149" s="6">
        <f t="shared" si="13"/>
        <v>0.29999974660084056</v>
      </c>
      <c r="F149" s="6">
        <f t="shared" si="13"/>
      </c>
      <c r="G149" s="6">
        <f t="shared" si="14"/>
      </c>
      <c r="H149" s="6">
        <f t="shared" si="14"/>
      </c>
    </row>
    <row r="150" spans="1:8" ht="12" customHeight="1">
      <c r="A150" s="82"/>
      <c r="B150" s="4">
        <v>150</v>
      </c>
      <c r="C150" s="5" t="s">
        <v>130</v>
      </c>
      <c r="D150" s="2" t="s">
        <v>201</v>
      </c>
      <c r="E150" s="6">
        <f t="shared" si="13"/>
        <v>0.44999961990126075</v>
      </c>
      <c r="F150" s="6">
        <f t="shared" si="13"/>
      </c>
      <c r="G150" s="6">
        <f t="shared" si="14"/>
      </c>
      <c r="H150" s="6">
        <f t="shared" si="14"/>
      </c>
    </row>
    <row r="151" spans="1:8" ht="12" customHeight="1">
      <c r="A151" s="82"/>
      <c r="B151" s="4">
        <v>200</v>
      </c>
      <c r="C151" s="5" t="s">
        <v>130</v>
      </c>
      <c r="D151" s="2" t="s">
        <v>201</v>
      </c>
      <c r="E151" s="6">
        <f t="shared" si="13"/>
        <v>0.5999994932016811</v>
      </c>
      <c r="F151" s="6">
        <f t="shared" si="13"/>
      </c>
      <c r="G151" s="6">
        <f t="shared" si="14"/>
      </c>
      <c r="H151" s="6">
        <f t="shared" si="14"/>
      </c>
    </row>
    <row r="152" spans="1:8" ht="12" customHeight="1">
      <c r="A152" s="82"/>
      <c r="B152" s="4">
        <v>300</v>
      </c>
      <c r="C152" s="5" t="s">
        <v>130</v>
      </c>
      <c r="D152" s="2" t="s">
        <v>201</v>
      </c>
      <c r="E152" s="6">
        <f t="shared" si="13"/>
        <v>0.8999992398025215</v>
      </c>
      <c r="F152" s="6">
        <f t="shared" si="13"/>
      </c>
      <c r="G152" s="6">
        <f t="shared" si="14"/>
      </c>
      <c r="H152" s="6">
        <f t="shared" si="14"/>
      </c>
    </row>
    <row r="153" spans="1:8" ht="12" customHeight="1">
      <c r="A153" s="82"/>
      <c r="B153" s="4">
        <v>400</v>
      </c>
      <c r="C153" s="5" t="s">
        <v>130</v>
      </c>
      <c r="D153" s="2" t="s">
        <v>201</v>
      </c>
      <c r="E153" s="6">
        <f t="shared" si="13"/>
        <v>1.1999989864033622</v>
      </c>
      <c r="F153" s="6">
        <f t="shared" si="13"/>
      </c>
      <c r="G153" s="6">
        <f t="shared" si="14"/>
      </c>
      <c r="H153" s="6">
        <f t="shared" si="14"/>
      </c>
    </row>
    <row r="154" spans="1:8" ht="12" customHeight="1">
      <c r="A154" s="82"/>
      <c r="B154" s="4">
        <v>500</v>
      </c>
      <c r="C154" s="5" t="s">
        <v>130</v>
      </c>
      <c r="D154" s="2" t="s">
        <v>201</v>
      </c>
      <c r="E154" s="6">
        <f t="shared" si="13"/>
        <v>1.4999987330042024</v>
      </c>
      <c r="F154" s="6">
        <f t="shared" si="13"/>
      </c>
      <c r="G154" s="6">
        <f t="shared" si="14"/>
      </c>
      <c r="H154" s="6">
        <f t="shared" si="14"/>
      </c>
    </row>
    <row r="155" spans="1:8" ht="12" customHeight="1">
      <c r="A155" s="82"/>
      <c r="B155" s="4">
        <v>700</v>
      </c>
      <c r="C155" s="5" t="s">
        <v>130</v>
      </c>
      <c r="D155" s="2" t="s">
        <v>201</v>
      </c>
      <c r="E155" s="6">
        <f t="shared" si="13"/>
        <v>2.0999982262058836</v>
      </c>
      <c r="F155" s="6">
        <f t="shared" si="13"/>
      </c>
      <c r="G155" s="6">
        <f t="shared" si="14"/>
      </c>
      <c r="H155" s="6">
        <f t="shared" si="14"/>
      </c>
    </row>
    <row r="156" spans="1:8" ht="12" customHeight="1">
      <c r="A156" s="82"/>
      <c r="B156" s="4" t="s">
        <v>53</v>
      </c>
      <c r="C156" s="5" t="s">
        <v>130</v>
      </c>
      <c r="D156" s="2" t="s">
        <v>201</v>
      </c>
      <c r="E156" s="6">
        <f t="shared" si="13"/>
        <v>2.999997466008405</v>
      </c>
      <c r="F156" s="6">
        <f t="shared" si="13"/>
      </c>
      <c r="G156" s="6">
        <f t="shared" si="14"/>
      </c>
      <c r="H156" s="6">
        <f t="shared" si="14"/>
      </c>
    </row>
    <row r="157" spans="1:8" ht="12" customHeight="1">
      <c r="A157" s="82"/>
      <c r="B157" s="4" t="s">
        <v>54</v>
      </c>
      <c r="C157" s="5" t="s">
        <v>130</v>
      </c>
      <c r="D157" s="2" t="s">
        <v>201</v>
      </c>
      <c r="E157" s="6">
        <f t="shared" si="13"/>
        <v>4.499996199012608</v>
      </c>
      <c r="F157" s="6">
        <f t="shared" si="13"/>
      </c>
      <c r="G157" s="6">
        <f t="shared" si="14"/>
      </c>
      <c r="H157" s="6">
        <f t="shared" si="14"/>
      </c>
    </row>
    <row r="158" spans="1:8" ht="12" customHeight="1">
      <c r="A158" s="82"/>
      <c r="B158" s="4" t="s">
        <v>55</v>
      </c>
      <c r="C158" s="5" t="s">
        <v>130</v>
      </c>
      <c r="D158" s="2" t="s">
        <v>201</v>
      </c>
      <c r="E158" s="6">
        <f t="shared" si="13"/>
        <v>5.99999493201681</v>
      </c>
      <c r="F158" s="6">
        <f t="shared" si="13"/>
      </c>
      <c r="G158" s="6">
        <f t="shared" si="14"/>
      </c>
      <c r="H158" s="6">
        <f t="shared" si="14"/>
      </c>
    </row>
    <row r="159" spans="1:8" ht="12" customHeight="1">
      <c r="A159" s="82"/>
      <c r="B159" s="4" t="s">
        <v>56</v>
      </c>
      <c r="C159" s="5" t="s">
        <v>130</v>
      </c>
      <c r="D159" s="2" t="s">
        <v>201</v>
      </c>
      <c r="E159" s="6">
        <f t="shared" si="13"/>
        <v>8.999992398025215</v>
      </c>
      <c r="F159" s="6">
        <f t="shared" si="13"/>
      </c>
      <c r="G159" s="6">
        <f t="shared" si="14"/>
      </c>
      <c r="H159" s="6">
        <f t="shared" si="14"/>
      </c>
    </row>
    <row r="160" spans="1:8" ht="12" customHeight="1">
      <c r="A160" s="82"/>
      <c r="B160" s="4" t="s">
        <v>57</v>
      </c>
      <c r="C160" s="5" t="s">
        <v>130</v>
      </c>
      <c r="D160" s="2" t="s">
        <v>201</v>
      </c>
      <c r="E160" s="6">
        <f t="shared" si="13"/>
        <v>11.99998986403362</v>
      </c>
      <c r="F160" s="6">
        <f t="shared" si="13"/>
      </c>
      <c r="G160" s="6">
        <f t="shared" si="14"/>
      </c>
      <c r="H160" s="6">
        <f t="shared" si="14"/>
      </c>
    </row>
    <row r="161" spans="1:8" ht="12" customHeight="1">
      <c r="A161" s="82"/>
      <c r="B161" s="4" t="s">
        <v>58</v>
      </c>
      <c r="C161" s="5" t="s">
        <v>130</v>
      </c>
      <c r="D161" s="2" t="s">
        <v>201</v>
      </c>
      <c r="E161" s="6">
        <f t="shared" si="13"/>
        <v>14.999987330042025</v>
      </c>
      <c r="F161" s="6">
        <f t="shared" si="13"/>
      </c>
      <c r="G161" s="6">
        <f t="shared" si="14"/>
      </c>
      <c r="H161" s="6">
        <f t="shared" si="14"/>
      </c>
    </row>
    <row r="162" spans="1:8" ht="12" customHeight="1">
      <c r="A162" s="82"/>
      <c r="B162" s="4" t="s">
        <v>59</v>
      </c>
      <c r="C162" s="5" t="s">
        <v>130</v>
      </c>
      <c r="D162" s="2" t="s">
        <v>201</v>
      </c>
      <c r="E162" s="6">
        <f t="shared" si="13"/>
        <v>20.999982262058836</v>
      </c>
      <c r="F162" s="6">
        <f t="shared" si="13"/>
      </c>
      <c r="G162" s="6">
        <f t="shared" si="14"/>
      </c>
      <c r="H162" s="6">
        <f t="shared" si="14"/>
      </c>
    </row>
    <row r="163" spans="1:8" ht="12" customHeight="1">
      <c r="A163" s="82"/>
      <c r="B163" s="4" t="s">
        <v>60</v>
      </c>
      <c r="C163" s="5" t="s">
        <v>130</v>
      </c>
      <c r="D163" s="2" t="s">
        <v>201</v>
      </c>
      <c r="E163" s="6">
        <f t="shared" si="13"/>
        <v>29.99997466008405</v>
      </c>
      <c r="F163" s="6">
        <f t="shared" si="13"/>
      </c>
      <c r="G163" s="6">
        <f t="shared" si="14"/>
      </c>
      <c r="H163" s="6">
        <f t="shared" si="14"/>
      </c>
    </row>
    <row r="164" spans="1:8" ht="12" customHeight="1">
      <c r="A164" s="82"/>
      <c r="B164" s="4" t="s">
        <v>61</v>
      </c>
      <c r="C164" s="5" t="s">
        <v>130</v>
      </c>
      <c r="D164" s="2" t="s">
        <v>201</v>
      </c>
      <c r="E164" s="6">
        <f t="shared" si="13"/>
        <v>44.999961990126074</v>
      </c>
      <c r="F164" s="6">
        <f t="shared" si="13"/>
      </c>
      <c r="G164" s="6">
        <f t="shared" si="14"/>
      </c>
      <c r="H164" s="6">
        <f t="shared" si="14"/>
      </c>
    </row>
    <row r="165" spans="1:8" ht="12" customHeight="1">
      <c r="A165" s="83"/>
      <c r="B165" s="4" t="s">
        <v>62</v>
      </c>
      <c r="C165" s="5" t="s">
        <v>130</v>
      </c>
      <c r="D165" s="2" t="s">
        <v>201</v>
      </c>
      <c r="E165" s="6">
        <f t="shared" si="13"/>
        <v>59.9999493201681</v>
      </c>
      <c r="F165" s="6">
        <f t="shared" si="13"/>
      </c>
      <c r="G165" s="6">
        <f t="shared" si="14"/>
      </c>
      <c r="H165" s="6">
        <f t="shared" si="14"/>
      </c>
    </row>
    <row r="166" spans="1:8" ht="12" customHeight="1">
      <c r="A166" s="81" t="s">
        <v>205</v>
      </c>
      <c r="B166" s="4">
        <v>20</v>
      </c>
      <c r="C166" s="5" t="s">
        <v>130</v>
      </c>
      <c r="D166" s="2" t="s">
        <v>201</v>
      </c>
      <c r="E166" s="6">
        <f aca="true" t="shared" si="15" ref="E166:H187">IF(E$25="","",1/(2*3.14159*$B100*E$25/1000000))</f>
        <v>600.0005067987471</v>
      </c>
      <c r="F166" s="6">
        <f t="shared" si="15"/>
      </c>
      <c r="G166" s="6">
        <f t="shared" si="15"/>
      </c>
      <c r="H166" s="6">
        <f t="shared" si="15"/>
      </c>
    </row>
    <row r="167" spans="1:8" ht="12" customHeight="1">
      <c r="A167" s="82"/>
      <c r="B167" s="4">
        <v>30</v>
      </c>
      <c r="C167" s="5" t="s">
        <v>130</v>
      </c>
      <c r="D167" s="2" t="s">
        <v>201</v>
      </c>
      <c r="E167" s="6">
        <f t="shared" si="15"/>
        <v>400.0003378658314</v>
      </c>
      <c r="F167" s="6">
        <f t="shared" si="15"/>
      </c>
      <c r="G167" s="6">
        <f t="shared" si="15"/>
      </c>
      <c r="H167" s="6">
        <f t="shared" si="15"/>
      </c>
    </row>
    <row r="168" spans="1:8" ht="12" customHeight="1">
      <c r="A168" s="82"/>
      <c r="B168" s="4">
        <v>40</v>
      </c>
      <c r="C168" s="5" t="s">
        <v>130</v>
      </c>
      <c r="D168" s="2" t="s">
        <v>201</v>
      </c>
      <c r="E168" s="6">
        <f t="shared" si="15"/>
        <v>300.00025339937355</v>
      </c>
      <c r="F168" s="6">
        <f t="shared" si="15"/>
      </c>
      <c r="G168" s="6">
        <f t="shared" si="15"/>
      </c>
      <c r="H168" s="6">
        <f t="shared" si="15"/>
      </c>
    </row>
    <row r="169" spans="1:8" ht="12" customHeight="1">
      <c r="A169" s="82"/>
      <c r="B169" s="4">
        <v>50</v>
      </c>
      <c r="C169" s="5" t="s">
        <v>130</v>
      </c>
      <c r="D169" s="2" t="s">
        <v>201</v>
      </c>
      <c r="E169" s="6">
        <f t="shared" si="15"/>
        <v>240.00020271949882</v>
      </c>
      <c r="F169" s="6">
        <f t="shared" si="15"/>
      </c>
      <c r="G169" s="6">
        <f t="shared" si="15"/>
      </c>
      <c r="H169" s="6">
        <f t="shared" si="15"/>
      </c>
    </row>
    <row r="170" spans="1:8" ht="12" customHeight="1">
      <c r="A170" s="82"/>
      <c r="B170" s="4">
        <v>70</v>
      </c>
      <c r="C170" s="5" t="s">
        <v>130</v>
      </c>
      <c r="D170" s="2" t="s">
        <v>201</v>
      </c>
      <c r="E170" s="6">
        <f t="shared" si="15"/>
        <v>171.4287162282135</v>
      </c>
      <c r="F170" s="6">
        <f t="shared" si="15"/>
      </c>
      <c r="G170" s="6">
        <f t="shared" si="15"/>
      </c>
      <c r="H170" s="6">
        <f t="shared" si="15"/>
      </c>
    </row>
    <row r="171" spans="1:8" ht="12" customHeight="1">
      <c r="A171" s="82"/>
      <c r="B171" s="4">
        <v>100</v>
      </c>
      <c r="C171" s="5" t="s">
        <v>130</v>
      </c>
      <c r="D171" s="2" t="s">
        <v>201</v>
      </c>
      <c r="E171" s="6">
        <f t="shared" si="15"/>
        <v>120.00010135974941</v>
      </c>
      <c r="F171" s="6">
        <f t="shared" si="15"/>
      </c>
      <c r="G171" s="6">
        <f t="shared" si="15"/>
      </c>
      <c r="H171" s="6">
        <f t="shared" si="15"/>
      </c>
    </row>
    <row r="172" spans="1:8" ht="12" customHeight="1">
      <c r="A172" s="82"/>
      <c r="B172" s="4">
        <v>150</v>
      </c>
      <c r="C172" s="5" t="s">
        <v>130</v>
      </c>
      <c r="D172" s="2" t="s">
        <v>201</v>
      </c>
      <c r="E172" s="6">
        <f t="shared" si="15"/>
        <v>80.00006757316628</v>
      </c>
      <c r="F172" s="6">
        <f t="shared" si="15"/>
      </c>
      <c r="G172" s="6">
        <f t="shared" si="15"/>
      </c>
      <c r="H172" s="6">
        <f t="shared" si="15"/>
      </c>
    </row>
    <row r="173" spans="1:8" ht="12" customHeight="1">
      <c r="A173" s="82"/>
      <c r="B173" s="4">
        <v>200</v>
      </c>
      <c r="C173" s="5" t="s">
        <v>130</v>
      </c>
      <c r="D173" s="2" t="s">
        <v>201</v>
      </c>
      <c r="E173" s="6">
        <f t="shared" si="15"/>
        <v>60.000050679874704</v>
      </c>
      <c r="F173" s="6">
        <f t="shared" si="15"/>
      </c>
      <c r="G173" s="6">
        <f t="shared" si="15"/>
      </c>
      <c r="H173" s="6">
        <f t="shared" si="15"/>
      </c>
    </row>
    <row r="174" spans="1:8" ht="12" customHeight="1">
      <c r="A174" s="82"/>
      <c r="B174" s="4">
        <v>300</v>
      </c>
      <c r="C174" s="5" t="s">
        <v>130</v>
      </c>
      <c r="D174" s="2" t="s">
        <v>201</v>
      </c>
      <c r="E174" s="6">
        <f t="shared" si="15"/>
        <v>40.00003378658314</v>
      </c>
      <c r="F174" s="6">
        <f t="shared" si="15"/>
      </c>
      <c r="G174" s="6">
        <f t="shared" si="15"/>
      </c>
      <c r="H174" s="6">
        <f t="shared" si="15"/>
      </c>
    </row>
    <row r="175" spans="1:8" ht="12" customHeight="1">
      <c r="A175" s="82"/>
      <c r="B175" s="4">
        <v>400</v>
      </c>
      <c r="C175" s="5" t="s">
        <v>130</v>
      </c>
      <c r="D175" s="2" t="s">
        <v>201</v>
      </c>
      <c r="E175" s="6">
        <f t="shared" si="15"/>
        <v>30.000025339937352</v>
      </c>
      <c r="F175" s="6">
        <f t="shared" si="15"/>
      </c>
      <c r="G175" s="6">
        <f t="shared" si="15"/>
      </c>
      <c r="H175" s="6">
        <f t="shared" si="15"/>
      </c>
    </row>
    <row r="176" spans="1:8" ht="12" customHeight="1">
      <c r="A176" s="82"/>
      <c r="B176" s="4">
        <v>500</v>
      </c>
      <c r="C176" s="5" t="s">
        <v>130</v>
      </c>
      <c r="D176" s="2" t="s">
        <v>201</v>
      </c>
      <c r="E176" s="6">
        <f t="shared" si="15"/>
        <v>24.00002027194989</v>
      </c>
      <c r="F176" s="6">
        <f t="shared" si="15"/>
      </c>
      <c r="G176" s="6">
        <f t="shared" si="15"/>
      </c>
      <c r="H176" s="6">
        <f t="shared" si="15"/>
      </c>
    </row>
    <row r="177" spans="1:8" ht="12" customHeight="1">
      <c r="A177" s="82"/>
      <c r="B177" s="4">
        <v>700</v>
      </c>
      <c r="C177" s="5" t="s">
        <v>130</v>
      </c>
      <c r="D177" s="2" t="s">
        <v>201</v>
      </c>
      <c r="E177" s="6">
        <f t="shared" si="15"/>
        <v>17.142871622821346</v>
      </c>
      <c r="F177" s="6">
        <f t="shared" si="15"/>
      </c>
      <c r="G177" s="6">
        <f t="shared" si="15"/>
      </c>
      <c r="H177" s="6">
        <f t="shared" si="15"/>
      </c>
    </row>
    <row r="178" spans="1:8" ht="12" customHeight="1">
      <c r="A178" s="82"/>
      <c r="B178" s="4" t="s">
        <v>53</v>
      </c>
      <c r="C178" s="5" t="s">
        <v>130</v>
      </c>
      <c r="D178" s="2" t="s">
        <v>201</v>
      </c>
      <c r="E178" s="6">
        <f t="shared" si="15"/>
        <v>12.000010135974945</v>
      </c>
      <c r="F178" s="6">
        <f t="shared" si="15"/>
      </c>
      <c r="G178" s="6">
        <f t="shared" si="15"/>
      </c>
      <c r="H178" s="6">
        <f t="shared" si="15"/>
      </c>
    </row>
    <row r="179" spans="1:8" ht="12" customHeight="1">
      <c r="A179" s="82"/>
      <c r="B179" s="4" t="s">
        <v>54</v>
      </c>
      <c r="C179" s="5" t="s">
        <v>130</v>
      </c>
      <c r="D179" s="2" t="s">
        <v>201</v>
      </c>
      <c r="E179" s="6">
        <f t="shared" si="15"/>
        <v>8.000006757316628</v>
      </c>
      <c r="F179" s="6">
        <f t="shared" si="15"/>
      </c>
      <c r="G179" s="6">
        <f t="shared" si="15"/>
      </c>
      <c r="H179" s="6">
        <f t="shared" si="15"/>
      </c>
    </row>
    <row r="180" spans="1:8" ht="12" customHeight="1">
      <c r="A180" s="82"/>
      <c r="B180" s="4" t="s">
        <v>55</v>
      </c>
      <c r="C180" s="5" t="s">
        <v>130</v>
      </c>
      <c r="D180" s="2" t="s">
        <v>201</v>
      </c>
      <c r="E180" s="6">
        <f t="shared" si="15"/>
        <v>6.000005067987472</v>
      </c>
      <c r="F180" s="6">
        <f t="shared" si="15"/>
      </c>
      <c r="G180" s="6">
        <f t="shared" si="15"/>
      </c>
      <c r="H180" s="6">
        <f t="shared" si="15"/>
      </c>
    </row>
    <row r="181" spans="1:8" ht="12" customHeight="1">
      <c r="A181" s="82"/>
      <c r="B181" s="4" t="s">
        <v>56</v>
      </c>
      <c r="C181" s="5" t="s">
        <v>130</v>
      </c>
      <c r="D181" s="2" t="s">
        <v>201</v>
      </c>
      <c r="E181" s="6">
        <f t="shared" si="15"/>
        <v>4.000003378658314</v>
      </c>
      <c r="F181" s="6">
        <f t="shared" si="15"/>
      </c>
      <c r="G181" s="6">
        <f t="shared" si="15"/>
      </c>
      <c r="H181" s="6">
        <f t="shared" si="15"/>
      </c>
    </row>
    <row r="182" spans="1:8" ht="12" customHeight="1">
      <c r="A182" s="82"/>
      <c r="B182" s="4" t="s">
        <v>57</v>
      </c>
      <c r="C182" s="5" t="s">
        <v>130</v>
      </c>
      <c r="D182" s="2" t="s">
        <v>201</v>
      </c>
      <c r="E182" s="6">
        <f t="shared" si="15"/>
        <v>3.000002533993736</v>
      </c>
      <c r="F182" s="6">
        <f t="shared" si="15"/>
      </c>
      <c r="G182" s="6">
        <f t="shared" si="15"/>
      </c>
      <c r="H182" s="6">
        <f t="shared" si="15"/>
      </c>
    </row>
    <row r="183" spans="1:8" ht="12" customHeight="1">
      <c r="A183" s="82"/>
      <c r="B183" s="4" t="s">
        <v>58</v>
      </c>
      <c r="C183" s="5" t="s">
        <v>130</v>
      </c>
      <c r="D183" s="2" t="s">
        <v>201</v>
      </c>
      <c r="E183" s="6">
        <f t="shared" si="15"/>
        <v>2.4000020271949887</v>
      </c>
      <c r="F183" s="6">
        <f t="shared" si="15"/>
      </c>
      <c r="G183" s="6">
        <f t="shared" si="15"/>
      </c>
      <c r="H183" s="6">
        <f t="shared" si="15"/>
      </c>
    </row>
    <row r="184" spans="1:8" ht="12" customHeight="1">
      <c r="A184" s="82"/>
      <c r="B184" s="4" t="s">
        <v>59</v>
      </c>
      <c r="C184" s="5" t="s">
        <v>130</v>
      </c>
      <c r="D184" s="2" t="s">
        <v>201</v>
      </c>
      <c r="E184" s="6">
        <f t="shared" si="15"/>
        <v>1.7142871622821347</v>
      </c>
      <c r="F184" s="6">
        <f t="shared" si="15"/>
      </c>
      <c r="G184" s="6">
        <f t="shared" si="15"/>
      </c>
      <c r="H184" s="6">
        <f t="shared" si="15"/>
      </c>
    </row>
    <row r="185" spans="1:8" ht="12" customHeight="1">
      <c r="A185" s="82"/>
      <c r="B185" s="4" t="s">
        <v>60</v>
      </c>
      <c r="C185" s="5" t="s">
        <v>130</v>
      </c>
      <c r="D185" s="2" t="s">
        <v>201</v>
      </c>
      <c r="E185" s="6">
        <f t="shared" si="15"/>
        <v>1.2000010135974943</v>
      </c>
      <c r="F185" s="6">
        <f t="shared" si="15"/>
      </c>
      <c r="G185" s="6">
        <f t="shared" si="15"/>
      </c>
      <c r="H185" s="6">
        <f t="shared" si="15"/>
      </c>
    </row>
    <row r="186" spans="1:8" ht="12" customHeight="1">
      <c r="A186" s="82"/>
      <c r="B186" s="4" t="s">
        <v>61</v>
      </c>
      <c r="C186" s="5" t="s">
        <v>130</v>
      </c>
      <c r="D186" s="2" t="s">
        <v>201</v>
      </c>
      <c r="E186" s="6">
        <f t="shared" si="15"/>
        <v>0.8000006757316627</v>
      </c>
      <c r="F186" s="6">
        <f t="shared" si="15"/>
      </c>
      <c r="G186" s="6">
        <f t="shared" si="15"/>
      </c>
      <c r="H186" s="6">
        <f t="shared" si="15"/>
      </c>
    </row>
    <row r="187" spans="1:8" ht="12" customHeight="1">
      <c r="A187" s="83"/>
      <c r="B187" s="4" t="s">
        <v>62</v>
      </c>
      <c r="C187" s="5" t="s">
        <v>130</v>
      </c>
      <c r="D187" s="2" t="s">
        <v>201</v>
      </c>
      <c r="E187" s="6">
        <f t="shared" si="15"/>
        <v>0.6000005067987472</v>
      </c>
      <c r="F187" s="6">
        <f t="shared" si="15"/>
      </c>
      <c r="G187" s="6">
        <f t="shared" si="15"/>
      </c>
      <c r="H187" s="6">
        <f t="shared" si="15"/>
      </c>
    </row>
  </sheetData>
  <sheetProtection password="BF23" sheet="1" objects="1" scenarios="1"/>
  <mergeCells count="14">
    <mergeCell ref="A1:F1"/>
    <mergeCell ref="A26:A33"/>
    <mergeCell ref="B16:C16"/>
    <mergeCell ref="A22:A23"/>
    <mergeCell ref="A24:A25"/>
    <mergeCell ref="B28:D28"/>
    <mergeCell ref="B19:D19"/>
    <mergeCell ref="A122:A143"/>
    <mergeCell ref="A144:A165"/>
    <mergeCell ref="A166:A187"/>
    <mergeCell ref="A34:A55"/>
    <mergeCell ref="A56:A77"/>
    <mergeCell ref="A78:A99"/>
    <mergeCell ref="A100:A121"/>
  </mergeCells>
  <conditionalFormatting sqref="E19:H19">
    <cfRule type="cellIs" priority="1" dxfId="0" operator="notBetween" stopIfTrue="1">
      <formula>0</formula>
      <formula>1</formula>
    </cfRule>
  </conditionalFormatting>
  <conditionalFormatting sqref="E28:H28">
    <cfRule type="cellIs" priority="2" dxfId="0" operator="notBetween" stopIfTrue="1">
      <formula>0</formula>
      <formula>2</formula>
    </cfRule>
  </conditionalFormatting>
  <printOptions horizontalCentered="1"/>
  <pageMargins left="0.7874015748031497" right="0.3937007874015748" top="0.7874015748031497" bottom="0.3937007874015748" header="0.2755905511811024" footer="0.31496062992125984"/>
  <pageSetup horizontalDpi="600" verticalDpi="600" orientation="portrait" paperSize="9" r:id="rId4"/>
  <headerFooter alignWithMargins="0">
    <oddHeader>&amp;R&amp;P/&amp;N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伊東　哲夫</dc:creator>
  <cp:keywords/>
  <dc:description/>
  <cp:lastModifiedBy>user</cp:lastModifiedBy>
  <cp:lastPrinted>2009-02-24T08:23:39Z</cp:lastPrinted>
  <dcterms:created xsi:type="dcterms:W3CDTF">2008-12-20T06:37:17Z</dcterms:created>
  <dcterms:modified xsi:type="dcterms:W3CDTF">2014-04-18T04:56:19Z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000800500e000000000001023720</vt:lpwstr>
  </property>
</Properties>
</file>