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9180" activeTab="0"/>
  </bookViews>
  <sheets>
    <sheet name="6dB4wayType" sheetId="1" r:id="rId1"/>
    <sheet name="12dB4wayType" sheetId="2" r:id="rId2"/>
    <sheet name="SpeakerCorrection1" sheetId="3" r:id="rId3"/>
    <sheet name="SpeakerCorrection2" sheetId="4" r:id="rId4"/>
    <sheet name="SpeakerCorrection3" sheetId="5" r:id="rId5"/>
    <sheet name="SpeakerCorrection4" sheetId="6" r:id="rId6"/>
  </sheets>
  <definedNames>
    <definedName name="_xlnm.Print_Area" localSheetId="1">'12dB4wayType'!$A$1:$I$30</definedName>
    <definedName name="_xlnm.Print_Area" localSheetId="0">'6dB4wayType'!$A$1:$I$30</definedName>
    <definedName name="_xlnm.Print_Area" localSheetId="2">'SpeakerCorrection1'!$A$1:$H$33</definedName>
    <definedName name="_xlnm.Print_Area" localSheetId="3">'SpeakerCorrection2'!$A$1:$H$33</definedName>
    <definedName name="_xlnm.Print_Area" localSheetId="4">'SpeakerCorrection3'!$A$1:$H$33</definedName>
    <definedName name="_xlnm.Print_Area" localSheetId="5">'SpeakerCorrection4'!$A$1:$H$33</definedName>
  </definedNames>
  <calcPr fullCalcOnLoad="1"/>
</workbook>
</file>

<file path=xl/comments1.xml><?xml version="1.0" encoding="utf-8"?>
<comments xmlns="http://schemas.openxmlformats.org/spreadsheetml/2006/main">
  <authors>
    <author>伊東　哲夫</author>
  </authors>
  <commentList>
    <comment ref="B23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4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6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27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29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0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  <comment ref="H16" authorId="0">
      <text>
        <r>
          <rPr>
            <b/>
            <sz val="10"/>
            <rFont val="ＭＳ Ｐゴシック"/>
            <family val="3"/>
          </rPr>
          <t>Select corrective circuit type 1-4.
1:Series  type 6dB/oct
2:Parallel type 6dB/oct
3:Series  type 12dB/oct
4:Parallel type 12dB/oct</t>
        </r>
      </text>
    </comment>
    <comment ref="B28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25" authorId="0">
      <text>
        <r>
          <rPr>
            <b/>
            <sz val="10"/>
            <rFont val="ＭＳ Ｐゴシック"/>
            <family val="3"/>
          </rPr>
          <t>Attenuator of resistor use flag
1:Use   0 or empty:Not use</t>
        </r>
      </text>
    </comment>
  </commentList>
</comments>
</file>

<file path=xl/comments2.xml><?xml version="1.0" encoding="utf-8"?>
<comments xmlns="http://schemas.openxmlformats.org/spreadsheetml/2006/main">
  <authors>
    <author>伊東　哲夫</author>
  </authors>
  <commentList>
    <comment ref="B23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4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6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27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29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0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  <comment ref="H16" authorId="0">
      <text>
        <r>
          <rPr>
            <b/>
            <sz val="10"/>
            <rFont val="ＭＳ Ｐゴシック"/>
            <family val="3"/>
          </rPr>
          <t>Select corrective circuit type 1-4.
1:Series  type 6dB/oct
2:Parallel type 6dB/oct
3:Series  type 12dB/oct
4:Parallel type 12dB/oct</t>
        </r>
      </text>
    </comment>
    <comment ref="B28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25" authorId="0">
      <text>
        <r>
          <rPr>
            <b/>
            <sz val="10"/>
            <rFont val="ＭＳ Ｐゴシック"/>
            <family val="3"/>
          </rPr>
          <t>Attenuator of resistor use flag
1:Use   0 or empty:Not use</t>
        </r>
      </text>
    </comment>
  </commentList>
</comments>
</file>

<file path=xl/comments3.xml><?xml version="1.0" encoding="utf-8"?>
<comments xmlns="http://schemas.openxmlformats.org/spreadsheetml/2006/main">
  <authors>
    <author>伊東　哲夫</author>
  </authors>
  <commentList>
    <comment ref="B19" authorId="0">
      <text>
        <r>
          <rPr>
            <b/>
            <sz val="10"/>
            <rFont val="ＭＳ Ｐゴシック"/>
            <family val="3"/>
          </rPr>
          <t>After correction, speaker may be suitable to be connected reverse because phase changes greatly.  
Connection order   :0
Connection reverse:1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Using method regarding attenuator of resistor.
2:For input resistance Rip only.
1:For Sensitivity Sip &amp; input resistance Rip.
0 or empty:Do not use. </t>
        </r>
      </text>
    </comment>
    <comment ref="B26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7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9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30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31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32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3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</commentList>
</comments>
</file>

<file path=xl/comments4.xml><?xml version="1.0" encoding="utf-8"?>
<comments xmlns="http://schemas.openxmlformats.org/spreadsheetml/2006/main">
  <authors>
    <author>伊東　哲夫</author>
  </authors>
  <commentList>
    <comment ref="B19" authorId="0">
      <text>
        <r>
          <rPr>
            <b/>
            <sz val="10"/>
            <rFont val="ＭＳ Ｐゴシック"/>
            <family val="3"/>
          </rPr>
          <t>After correction, speaker may be suitable to be connected reverse because phase changes greatly.  
Connection order   :0
Connection reverse:1</t>
        </r>
      </text>
    </comment>
    <comment ref="B26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7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Using method regarding attenuator of resistor.
2:For input resistance Rip only.
1:For Sensitivity Sip &amp; input resistance Rip.
0 or empty:Do not use. </t>
        </r>
      </text>
    </comment>
    <comment ref="B29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30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31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32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3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</commentList>
</comments>
</file>

<file path=xl/comments5.xml><?xml version="1.0" encoding="utf-8"?>
<comments xmlns="http://schemas.openxmlformats.org/spreadsheetml/2006/main">
  <authors>
    <author>伊東　哲夫</author>
  </authors>
  <commentList>
    <comment ref="B19" authorId="0">
      <text>
        <r>
          <rPr>
            <b/>
            <sz val="10"/>
            <rFont val="ＭＳ Ｐゴシック"/>
            <family val="3"/>
          </rPr>
          <t>After correction, speaker may be suitable to be connected reverse because phase changes greatly.  
Connection order   :0
Connection reverse:1</t>
        </r>
      </text>
    </comment>
    <comment ref="B26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7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Using method regarding attenuator of resistor.
2:For input resistance Rip only.
1:For Sensitivity Sip &amp; input resistance Rip.
0 or empty:Do not use. </t>
        </r>
      </text>
    </comment>
    <comment ref="B29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30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31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32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3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</commentList>
</comments>
</file>

<file path=xl/comments6.xml><?xml version="1.0" encoding="utf-8"?>
<comments xmlns="http://schemas.openxmlformats.org/spreadsheetml/2006/main">
  <authors>
    <author>伊東　哲夫</author>
  </authors>
  <commentList>
    <comment ref="B19" authorId="0">
      <text>
        <r>
          <rPr>
            <b/>
            <sz val="10"/>
            <rFont val="ＭＳ Ｐゴシック"/>
            <family val="3"/>
          </rPr>
          <t>After correction, speaker may be suitable to be connected reverse because phase changes greatly.  
Connection order   :0
Connection reverse:1</t>
        </r>
      </text>
    </comment>
    <comment ref="B26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7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Using method regarding attenuator of resistor.
2:For input resistance Rip only.
1:For Sensitivity Sip &amp; input resistance Rip.
0 or empty:Do not use. </t>
        </r>
      </text>
    </comment>
    <comment ref="B29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30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31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32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3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</commentList>
</comments>
</file>

<file path=xl/sharedStrings.xml><?xml version="1.0" encoding="utf-8"?>
<sst xmlns="http://schemas.openxmlformats.org/spreadsheetml/2006/main" count="2970" uniqueCount="197">
  <si>
    <t>ｄＢ</t>
  </si>
  <si>
    <t>0 or 1</t>
  </si>
  <si>
    <t>Ω</t>
  </si>
  <si>
    <t>ｄＢ</t>
  </si>
  <si>
    <t>Ｈｚ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</si>
  <si>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</si>
  <si>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</si>
  <si>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</si>
  <si>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</si>
  <si>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</si>
  <si>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</si>
  <si>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</si>
  <si>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</si>
  <si>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</si>
  <si>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</si>
  <si>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</si>
  <si>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</si>
  <si>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</si>
  <si>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</si>
  <si>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</si>
  <si>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</si>
  <si>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</si>
  <si>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</si>
  <si>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</si>
  <si>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</si>
  <si>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</si>
  <si>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</si>
  <si>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</si>
  <si>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</si>
  <si>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</si>
  <si>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</si>
  <si>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</si>
  <si>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</si>
  <si>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</si>
  <si>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</si>
  <si>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</si>
  <si>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</si>
  <si>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</si>
  <si>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</si>
  <si>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</si>
  <si>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</si>
  <si>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</si>
  <si>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</si>
  <si>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</si>
  <si>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</si>
  <si>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Ｈｚ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</si>
  <si>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</si>
  <si>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</si>
  <si>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</si>
  <si>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</si>
  <si>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</si>
  <si>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</si>
  <si>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</si>
  <si>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</si>
  <si>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</si>
  <si>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</si>
  <si>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Ｚｉｎ</t>
  </si>
  <si>
    <t>Ｒｉ</t>
  </si>
  <si>
    <t>ｎｉ</t>
  </si>
  <si>
    <t>ｆｃL</t>
  </si>
  <si>
    <t>ｆｃU</t>
  </si>
  <si>
    <t>Ｓｉｏ</t>
  </si>
  <si>
    <t>Ｓｉ</t>
  </si>
  <si>
    <t>Ｒｉｏ</t>
  </si>
  <si>
    <t>X0.1度/Hz</t>
  </si>
  <si>
    <t>Ｌ１</t>
  </si>
  <si>
    <t>Ｃ１</t>
  </si>
  <si>
    <t>Ｌ２</t>
  </si>
  <si>
    <t>Ｃ２</t>
  </si>
  <si>
    <t>Crossover Frequncy</t>
  </si>
  <si>
    <t>Crossover Attenuation</t>
  </si>
  <si>
    <t>Parts of Network</t>
  </si>
  <si>
    <t>Item</t>
  </si>
  <si>
    <t>Impedance</t>
  </si>
  <si>
    <t>Speaker sensitivity</t>
  </si>
  <si>
    <t>Speaker Charactoritics</t>
  </si>
  <si>
    <t>Frequency</t>
  </si>
  <si>
    <t>Attenuation</t>
  </si>
  <si>
    <t>Coil</t>
  </si>
  <si>
    <t>Condensor</t>
  </si>
  <si>
    <t>Charactoristics</t>
  </si>
  <si>
    <t>Pre Sensitivity</t>
  </si>
  <si>
    <t>Atten use flag</t>
  </si>
  <si>
    <t>Atten Para Res</t>
  </si>
  <si>
    <t>Pre Effect Res</t>
  </si>
  <si>
    <t>Atten Ser Res</t>
  </si>
  <si>
    <t>Aft Effect Res</t>
  </si>
  <si>
    <t>Dif from adj sens</t>
  </si>
  <si>
    <t>Unit</t>
  </si>
  <si>
    <t>Magni</t>
  </si>
  <si>
    <t>0:nil or 1-4</t>
  </si>
  <si>
    <t>ZinX6/rated value(ohm)</t>
  </si>
  <si>
    <t>Output power(dB)</t>
  </si>
  <si>
    <t>Output Voltage</t>
  </si>
  <si>
    <t>Phase of output</t>
  </si>
  <si>
    <t>Correction voltage</t>
  </si>
  <si>
    <t>Correction phase</t>
  </si>
  <si>
    <t>deg</t>
  </si>
  <si>
    <t>dB</t>
  </si>
  <si>
    <t>1/ohm</t>
  </si>
  <si>
    <t>ohm</t>
  </si>
  <si>
    <t>dB</t>
  </si>
  <si>
    <t>ohm/dB</t>
  </si>
  <si>
    <t>Hz</t>
  </si>
  <si>
    <t>mH</t>
  </si>
  <si>
    <t>microF</t>
  </si>
  <si>
    <t>dB</t>
  </si>
  <si>
    <t>ohm</t>
  </si>
  <si>
    <t>(Explanation of operation method)</t>
  </si>
  <si>
    <t>1.Calculation of parts used in network circuit</t>
  </si>
  <si>
    <t>2.Design of network charactoristics</t>
  </si>
  <si>
    <t>(1)Fill yellow cell with cross over frequency.</t>
  </si>
  <si>
    <t>(2)Fill yellow cell with rated value of Zin.</t>
  </si>
  <si>
    <t>(3)Fill previous (correction) effective resistance with nil.</t>
  </si>
  <si>
    <t>(1)Fill previous (correction) effective resistance with data.</t>
  </si>
  <si>
    <t>(2)Fill previous (correction) sensitivity with data.</t>
  </si>
  <si>
    <t>(3)Fill rated value of Zin with data.</t>
  </si>
  <si>
    <t>(4)Fill rated value of speaker sensitivity with data.</t>
  </si>
  <si>
    <t>(5)Fill attenuator use flag with data, 0 or 1.</t>
  </si>
  <si>
    <t>(7)Check and correct data</t>
  </si>
  <si>
    <t>(6)Fill speaker correction 1-4 add with nil.</t>
  </si>
  <si>
    <t>Low(i=w)</t>
  </si>
  <si>
    <t>For design</t>
  </si>
  <si>
    <t>For parts</t>
  </si>
  <si>
    <t>Mid(i=s)</t>
  </si>
  <si>
    <t>Total</t>
  </si>
  <si>
    <t>Ｒａ</t>
  </si>
  <si>
    <t>Ｒｂ</t>
  </si>
  <si>
    <t>High(i=t)</t>
  </si>
  <si>
    <t>Phase Dist(X0.1deg/Hz)</t>
  </si>
  <si>
    <t>L1-3</t>
  </si>
  <si>
    <t>C1-3</t>
  </si>
  <si>
    <t>Conductance(g1-5)</t>
  </si>
  <si>
    <t>Susceptance(s1-5)</t>
  </si>
  <si>
    <t>4way 6dB/oct Zin constant type Network Circuit Design Sheet</t>
  </si>
  <si>
    <t>fc1-3</t>
  </si>
  <si>
    <t>Ultra(i=u)</t>
  </si>
  <si>
    <r>
      <t>A</t>
    </r>
    <r>
      <rPr>
        <sz val="11"/>
        <rFont val="ＭＳ Ｐゴシック"/>
        <family val="3"/>
      </rPr>
      <t>bout -3</t>
    </r>
  </si>
  <si>
    <t>4way 12dB/oct Zin constant type Network Circuit Design Sheet</t>
  </si>
  <si>
    <t>Reactance(XC1-5)</t>
  </si>
  <si>
    <t>Reactance(XL1-5)</t>
  </si>
  <si>
    <t>Input resistance</t>
  </si>
  <si>
    <t>Adjusting rate</t>
  </si>
  <si>
    <t>Sensitivity after correct</t>
  </si>
  <si>
    <t>Lower cross over</t>
  </si>
  <si>
    <t>Higher cross over</t>
  </si>
  <si>
    <t>-3dB frequency</t>
  </si>
  <si>
    <t>Connection　Order：０ Reverse:1</t>
  </si>
  <si>
    <t>Polarity after correction</t>
  </si>
  <si>
    <t>Rio</t>
  </si>
  <si>
    <t>Sio</t>
  </si>
  <si>
    <t>Lower cross over parts</t>
  </si>
  <si>
    <t>Higher cross over parts</t>
  </si>
  <si>
    <t>Rip</t>
  </si>
  <si>
    <t>Sip</t>
  </si>
  <si>
    <t>Rio</t>
  </si>
  <si>
    <t>Sio</t>
  </si>
  <si>
    <t>dB</t>
  </si>
  <si>
    <t>(1) Input effective resistance before correction.</t>
  </si>
  <si>
    <t>(2) Input sensitivity before correction.</t>
  </si>
  <si>
    <t>(3) Input an input resistance adjusting rate.</t>
  </si>
  <si>
    <t>(4) Input sensitivity after correction.</t>
  </si>
  <si>
    <t>1. Input basic data.</t>
  </si>
  <si>
    <t>Correct flag 2:Rip 1:Sens 0:Nil</t>
  </si>
  <si>
    <t>Ohm</t>
  </si>
  <si>
    <t>Reactance XL1</t>
  </si>
  <si>
    <t>Reactance XC1</t>
  </si>
  <si>
    <t>Reactance XL2</t>
  </si>
  <si>
    <t>Reactance XC2</t>
  </si>
  <si>
    <t>Speaker Corrective Circuit (6dB/oct) Series type Design Sheet</t>
  </si>
  <si>
    <t>Speaker Corrective Circuit (6dB/oct) Parallel type Design Sheet</t>
  </si>
  <si>
    <t>Speaker Corrective Circuit (12dB/oct) Series type Design Sheet</t>
  </si>
  <si>
    <t>Speaker Corrective Circuit (12dB/oct) Parallel type Design Sheet</t>
  </si>
  <si>
    <t>Variation of freq. response before correction(dB)</t>
  </si>
  <si>
    <t>Low(i=w)</t>
  </si>
  <si>
    <t>Mid(i=s)</t>
  </si>
  <si>
    <t>High(i=t)</t>
  </si>
  <si>
    <t>Total</t>
  </si>
  <si>
    <t>Output power</t>
  </si>
  <si>
    <t>Output volt</t>
  </si>
  <si>
    <t>Sp correction type 1-4</t>
  </si>
  <si>
    <t>3.Add the influence of SpeakerCorrection sheet</t>
  </si>
  <si>
    <t>Use Sp Correction sheet only existing Variation of freq. response.</t>
  </si>
  <si>
    <r>
      <t>Fill the below table with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V</t>
    </r>
    <r>
      <rPr>
        <sz val="11"/>
        <rFont val="ＭＳ Ｐゴシック"/>
        <family val="3"/>
      </rPr>
      <t>ariation</t>
    </r>
    <r>
      <rPr>
        <sz val="11"/>
        <rFont val="ＭＳ Ｐゴシック"/>
        <family val="3"/>
      </rPr>
      <t xml:space="preserve"> freq. response</t>
    </r>
    <r>
      <rPr>
        <sz val="11"/>
        <rFont val="ＭＳ Ｐゴシック"/>
        <family val="3"/>
      </rPr>
      <t xml:space="preserve"> of speakers if any.</t>
    </r>
  </si>
  <si>
    <t>(1)Select SpeakerCorrection type and insert the suitable data, 1-4.</t>
  </si>
  <si>
    <t>(2)Fill the suitable SpeakerCorrection sheet with necessary data.</t>
  </si>
  <si>
    <t>(3)Check freq. charactoristics in this sheet as a result of this.</t>
  </si>
  <si>
    <t>(4)Correct and adjust the data in both sheets if necessary.</t>
  </si>
  <si>
    <t>(5)Repeat operation (2)-(4) till completed.</t>
  </si>
  <si>
    <t>２．Input data for correction.</t>
  </si>
  <si>
    <t xml:space="preserve">(1) Input Correction flag with 0-2. </t>
  </si>
  <si>
    <t>(2) Input Cross over frequency.</t>
  </si>
  <si>
    <t>(3) Input Connection Polarity with 0-1.</t>
  </si>
  <si>
    <t>(4) Check the Network Circuit Design Sheet applied.</t>
  </si>
  <si>
    <t>(5) Make to agree with Rio in both sheets, but for boost</t>
  </si>
  <si>
    <t xml:space="preserve">     or attenuation, can correct by difference of Sio.</t>
  </si>
  <si>
    <t>(6)Repeat operation (1)-(5) till completed.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</si>
</sst>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_);[Red]\(0.000\)"/>
    <numFmt numFmtId="180" formatCode="0.0000_ "/>
    <numFmt numFmtId="181" formatCode="0_);[Red]\(0\)"/>
    <numFmt numFmtId="182" formatCode="0_ "/>
    <numFmt numFmtId="183" formatCode="0.000000_ "/>
    <numFmt numFmtId="184" formatCode="0.00000_ "/>
    <numFmt numFmtId="185" formatCode="0.00000000_ "/>
    <numFmt numFmtId="186" formatCode="0.000000_);[Red]\(0.000000\)"/>
    <numFmt numFmtId="187" formatCode="0.00000_);[Red]\(0.00000\)"/>
    <numFmt numFmtId="188" formatCode="0.00_);[Red]\(0.00\)"/>
    <numFmt numFmtId="189" formatCode="0.0000_);[Red]\(0.0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b/>
      <sz val="12"/>
      <name val="ＭＳ Ｐ明朝"/>
      <family val="1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77" fontId="0" fillId="0" borderId="10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179" fontId="0" fillId="0" borderId="10" xfId="0" applyNumberFormat="1" applyBorder="1" applyAlignment="1" applyProtection="1">
      <alignment/>
      <protection hidden="1"/>
    </xf>
    <xf numFmtId="180" fontId="0" fillId="0" borderId="10" xfId="0" applyNumberFormat="1" applyBorder="1" applyAlignment="1" applyProtection="1">
      <alignment/>
      <protection hidden="1"/>
    </xf>
    <xf numFmtId="176" fontId="2" fillId="33" borderId="10" xfId="0" applyNumberFormat="1" applyFont="1" applyFill="1" applyBorder="1" applyAlignment="1" applyProtection="1">
      <alignment/>
      <protection locked="0"/>
    </xf>
    <xf numFmtId="182" fontId="2" fillId="33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shrinkToFit="1"/>
      <protection hidden="1"/>
    </xf>
    <xf numFmtId="0" fontId="0" fillId="0" borderId="10" xfId="0" applyBorder="1" applyAlignment="1" applyProtection="1">
      <alignment/>
      <protection hidden="1"/>
    </xf>
    <xf numFmtId="176" fontId="0" fillId="0" borderId="10" xfId="0" applyNumberFormat="1" applyBorder="1" applyAlignment="1" applyProtection="1">
      <alignment/>
      <protection hidden="1"/>
    </xf>
    <xf numFmtId="0" fontId="0" fillId="0" borderId="10" xfId="0" applyFill="1" applyBorder="1" applyAlignment="1" applyProtection="1">
      <alignment shrinkToFit="1"/>
      <protection hidden="1"/>
    </xf>
    <xf numFmtId="0" fontId="0" fillId="0" borderId="10" xfId="0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 locked="0"/>
    </xf>
    <xf numFmtId="176" fontId="2" fillId="34" borderId="10" xfId="0" applyNumberFormat="1" applyFont="1" applyFill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hidden="1"/>
    </xf>
    <xf numFmtId="183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6" fontId="0" fillId="0" borderId="10" xfId="0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34" borderId="10" xfId="0" applyFill="1" applyBorder="1" applyAlignment="1" applyProtection="1">
      <alignment horizontal="center" vertical="center" shrinkToFit="1"/>
      <protection hidden="1"/>
    </xf>
    <xf numFmtId="0" fontId="0" fillId="33" borderId="10" xfId="0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shrinkToFit="1"/>
      <protection hidden="1"/>
    </xf>
    <xf numFmtId="178" fontId="2" fillId="0" borderId="10" xfId="0" applyNumberFormat="1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86" fontId="0" fillId="0" borderId="10" xfId="0" applyNumberFormat="1" applyBorder="1" applyAlignment="1" applyProtection="1">
      <alignment/>
      <protection hidden="1"/>
    </xf>
    <xf numFmtId="177" fontId="0" fillId="0" borderId="10" xfId="0" applyNumberFormat="1" applyFill="1" applyBorder="1" applyAlignment="1" applyProtection="1">
      <alignment horizontal="center" shrinkToFit="1"/>
      <protection hidden="1"/>
    </xf>
    <xf numFmtId="0" fontId="2" fillId="33" borderId="10" xfId="0" applyFon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/>
      <protection hidden="1"/>
    </xf>
    <xf numFmtId="188" fontId="2" fillId="33" borderId="10" xfId="0" applyNumberFormat="1" applyFont="1" applyFill="1" applyBorder="1" applyAlignment="1" applyProtection="1">
      <alignment/>
      <protection locked="0"/>
    </xf>
    <xf numFmtId="188" fontId="2" fillId="34" borderId="10" xfId="0" applyNumberFormat="1" applyFont="1" applyFill="1" applyBorder="1" applyAlignment="1" applyProtection="1">
      <alignment/>
      <protection locked="0"/>
    </xf>
    <xf numFmtId="187" fontId="0" fillId="0" borderId="10" xfId="0" applyNumberFormat="1" applyBorder="1" applyAlignment="1">
      <alignment/>
    </xf>
    <xf numFmtId="189" fontId="0" fillId="0" borderId="10" xfId="0" applyNumberFormat="1" applyBorder="1" applyAlignment="1" applyProtection="1">
      <alignment/>
      <protection hidden="1"/>
    </xf>
    <xf numFmtId="176" fontId="0" fillId="0" borderId="10" xfId="0" applyNumberFormat="1" applyFont="1" applyFill="1" applyBorder="1" applyAlignment="1" applyProtection="1">
      <alignment horizontal="center"/>
      <protection hidden="1"/>
    </xf>
    <xf numFmtId="177" fontId="0" fillId="0" borderId="10" xfId="0" applyNumberFormat="1" applyBorder="1" applyAlignment="1" applyProtection="1">
      <alignment horizontal="center" shrinkToFit="1"/>
      <protection hidden="1"/>
    </xf>
    <xf numFmtId="180" fontId="0" fillId="0" borderId="0" xfId="0" applyNumberFormat="1" applyAlignment="1">
      <alignment/>
    </xf>
    <xf numFmtId="176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0" xfId="0" applyBorder="1" applyAlignment="1">
      <alignment/>
    </xf>
    <xf numFmtId="178" fontId="5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 quotePrefix="1">
      <alignment shrinkToFit="1"/>
      <protection hidden="1"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shrinkToFit="1"/>
      <protection hidden="1"/>
    </xf>
    <xf numFmtId="184" fontId="0" fillId="0" borderId="10" xfId="0" applyNumberFormat="1" applyBorder="1" applyAlignment="1" applyProtection="1">
      <alignment/>
      <protection hidden="1"/>
    </xf>
    <xf numFmtId="176" fontId="0" fillId="0" borderId="10" xfId="60" applyNumberFormat="1" applyFill="1" applyBorder="1" applyProtection="1">
      <alignment/>
      <protection hidden="1"/>
    </xf>
    <xf numFmtId="176" fontId="2" fillId="0" borderId="10" xfId="60" applyNumberFormat="1" applyFont="1" applyFill="1" applyBorder="1" applyProtection="1">
      <alignment/>
      <protection locked="0"/>
    </xf>
    <xf numFmtId="0" fontId="0" fillId="0" borderId="18" xfId="60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18" xfId="60" applyBorder="1" applyAlignment="1" applyProtection="1">
      <alignment horizontal="center" vertical="center" shrinkToFit="1"/>
      <protection hidden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60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shrinkToFit="1"/>
      <protection hidden="1"/>
    </xf>
    <xf numFmtId="0" fontId="0" fillId="0" borderId="2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Zin/Output voltage,power/Phase Distortion (Group delay)</a:t>
            </a:r>
          </a:p>
        </c:rich>
      </c:tx>
      <c:layout>
        <c:manualLayout>
          <c:xMode val="factor"/>
          <c:yMode val="factor"/>
          <c:x val="0.05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05"/>
          <c:w val="0.907"/>
          <c:h val="0.762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6dB4wayType!$B$53:$B$74</c:f>
              <c:strCache/>
            </c:strRef>
          </c:cat>
          <c:val>
            <c:numRef>
              <c:f>6dB4wayType!$E$53:$E$74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6dB4wayType!$B$53:$B$74</c:f>
              <c:strCache/>
            </c:strRef>
          </c:cat>
          <c:val>
            <c:numRef>
              <c:f>6dB4wayType!$F$53:$F$74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6dB4wayType!$B$53:$B$74</c:f>
              <c:strCache/>
            </c:strRef>
          </c:cat>
          <c:val>
            <c:numRef>
              <c:f>6dB4wayType!$G$53:$G$74</c:f>
              <c:numCache/>
            </c:numRef>
          </c:val>
          <c:smooth val="0"/>
        </c:ser>
        <c:ser>
          <c:idx val="3"/>
          <c:order val="3"/>
          <c:tx>
            <c:v>Ultra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6dB4wayType!$H$53:$H$74</c:f>
              <c:numCache/>
            </c:numRef>
          </c:val>
          <c:smooth val="0"/>
        </c:ser>
        <c:ser>
          <c:idx val="4"/>
          <c:order val="4"/>
          <c:tx>
            <c:v>Volt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6dB4wayType!$I$53:$I$74</c:f>
              <c:numCache/>
            </c:numRef>
          </c:val>
          <c:smooth val="0"/>
        </c:ser>
        <c:ser>
          <c:idx val="5"/>
          <c:order val="5"/>
          <c:tx>
            <c:v>Ｚｉｎ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6dB4wayType!$E$31:$E$52</c:f>
              <c:numCache/>
            </c:numRef>
          </c:val>
          <c:smooth val="0"/>
        </c:ser>
        <c:ser>
          <c:idx val="6"/>
          <c:order val="6"/>
          <c:tx>
            <c:v>Power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6dB4wayType!$I$31:$I$52</c:f>
              <c:numCache/>
            </c:numRef>
          </c:val>
          <c:smooth val="0"/>
        </c:ser>
        <c:ser>
          <c:idx val="7"/>
          <c:order val="7"/>
          <c:tx>
            <c:v>PD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6dB4wayType!$H$32:$H$52</c:f>
              <c:numCache/>
            </c:numRef>
          </c:val>
          <c:smooth val="0"/>
        </c:ser>
        <c:marker val="1"/>
        <c:axId val="45679946"/>
        <c:axId val="8466331"/>
      </c:lineChart>
      <c:catAx>
        <c:axId val="45679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6331"/>
        <c:crosses val="autoZero"/>
        <c:auto val="1"/>
        <c:lblOffset val="100"/>
        <c:tickLblSkip val="2"/>
        <c:noMultiLvlLbl val="0"/>
      </c:catAx>
      <c:valAx>
        <c:axId val="846633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ZinX6/Total rated (ohm)
Voltage , Power (dB)
Phase Dist(X0.1deg/Hz)</a:t>
                </a:r>
              </a:p>
            </c:rich>
          </c:tx>
          <c:layout>
            <c:manualLayout>
              <c:xMode val="factor"/>
              <c:yMode val="factor"/>
              <c:x val="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9946"/>
        <c:crossesAt val="1"/>
        <c:crossBetween val="between"/>
        <c:dispUnits/>
        <c:maj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75"/>
          <c:y val="0.9185"/>
          <c:w val="0.95725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Zin/Output voltage,power/Phase Distortion (Group delay)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705"/>
          <c:w val="0.90225"/>
          <c:h val="0.7737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'12dB4wayType'!$B$53:$B$74</c:f>
              <c:strCache/>
            </c:strRef>
          </c:cat>
          <c:val>
            <c:numRef>
              <c:f>'12dB4wayType'!$E$53:$E$74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'12dB4wayType'!$B$53:$B$74</c:f>
              <c:strCache/>
            </c:strRef>
          </c:cat>
          <c:val>
            <c:numRef>
              <c:f>'12dB4wayType'!$F$53:$F$74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'12dB4wayType'!$B$53:$B$74</c:f>
              <c:strCache/>
            </c:strRef>
          </c:cat>
          <c:val>
            <c:numRef>
              <c:f>'12dB4wayType'!$G$53:$G$74</c:f>
              <c:numCache/>
            </c:numRef>
          </c:val>
          <c:smooth val="0"/>
        </c:ser>
        <c:ser>
          <c:idx val="3"/>
          <c:order val="3"/>
          <c:tx>
            <c:v>Ultra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'12dB4wayType'!$H$53:$H$74</c:f>
              <c:numCache/>
            </c:numRef>
          </c:val>
          <c:smooth val="0"/>
        </c:ser>
        <c:ser>
          <c:idx val="4"/>
          <c:order val="4"/>
          <c:tx>
            <c:v>Volt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'12dB4wayType'!$I$53:$I$74</c:f>
              <c:numCache/>
            </c:numRef>
          </c:val>
          <c:smooth val="0"/>
        </c:ser>
        <c:ser>
          <c:idx val="5"/>
          <c:order val="5"/>
          <c:tx>
            <c:v>Ｚｉｎ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'12dB4wayType'!$E$31:$E$52</c:f>
              <c:numCache/>
            </c:numRef>
          </c:val>
          <c:smooth val="0"/>
        </c:ser>
        <c:ser>
          <c:idx val="6"/>
          <c:order val="6"/>
          <c:tx>
            <c:v>Power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'12dB4wayType'!$I$31:$I$52</c:f>
              <c:numCache/>
            </c:numRef>
          </c:val>
          <c:smooth val="0"/>
        </c:ser>
        <c:ser>
          <c:idx val="7"/>
          <c:order val="7"/>
          <c:tx>
            <c:v>PD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'12dB4wayType'!$H$32:$H$52</c:f>
              <c:numCache/>
            </c:numRef>
          </c:val>
          <c:smooth val="0"/>
        </c:ser>
        <c:marker val="1"/>
        <c:axId val="9088116"/>
        <c:axId val="14684181"/>
      </c:lineChart>
      <c:catAx>
        <c:axId val="908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84181"/>
        <c:crosses val="autoZero"/>
        <c:auto val="1"/>
        <c:lblOffset val="100"/>
        <c:tickLblSkip val="2"/>
        <c:noMultiLvlLbl val="0"/>
      </c:catAx>
      <c:valAx>
        <c:axId val="1468418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ZinX6/Total rated (ohm)
Voltage , Power (dB)
Phase Dist(X0.1deg/Hz)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88116"/>
        <c:crossesAt val="1"/>
        <c:crossBetween val="between"/>
        <c:dispUnits/>
        <c:maj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925"/>
          <c:y val="0.92975"/>
          <c:w val="0.9635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Output Voltage to speakers ( Adjusting rate = 0 dB )</a:t>
            </a:r>
          </a:p>
        </c:rich>
      </c:tx>
      <c:layout>
        <c:manualLayout>
          <c:xMode val="factor"/>
          <c:yMode val="factor"/>
          <c:x val="0.048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8"/>
          <c:w val="0.8855"/>
          <c:h val="0.76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SpeakerCorrection1!$B$56:$B$77</c:f>
              <c:strCache/>
            </c:strRef>
          </c:cat>
          <c:val>
            <c:numRef>
              <c:f>SpeakerCorrection1!$E$56:$E$77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SpeakerCorrection1!$F$56:$F$77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SpeakerCorrection1!$G$56:$G$77</c:f>
              <c:numCache/>
            </c:numRef>
          </c:val>
          <c:smooth val="0"/>
        </c:ser>
        <c:ser>
          <c:idx val="3"/>
          <c:order val="3"/>
          <c:tx>
            <c:v>Ultra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SpeakerCorrection1!$H$56:$H$77</c:f>
              <c:numCache/>
            </c:numRef>
          </c:val>
          <c:smooth val="0"/>
        </c:ser>
        <c:marker val="1"/>
        <c:axId val="65048766"/>
        <c:axId val="48567983"/>
      </c:lineChart>
      <c:catAx>
        <c:axId val="65048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（Ｈｚ）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48567983"/>
        <c:crosses val="autoZero"/>
        <c:auto val="1"/>
        <c:lblOffset val="100"/>
        <c:tickLblSkip val="2"/>
        <c:noMultiLvlLbl val="0"/>
      </c:catAx>
      <c:valAx>
        <c:axId val="48567983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Output Voltage (dB)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48766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"/>
          <c:y val="0.9185"/>
          <c:w val="0.629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Output Voltage to speakers ( Adjusting rate = 0 dB )</a:t>
            </a:r>
          </a:p>
        </c:rich>
      </c:tx>
      <c:layout>
        <c:manualLayout>
          <c:xMode val="factor"/>
          <c:yMode val="factor"/>
          <c:x val="0.064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275"/>
          <c:w val="0.89675"/>
          <c:h val="0.7502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SpeakerCorrection2!$B$56:$B$77</c:f>
              <c:strCache/>
            </c:strRef>
          </c:cat>
          <c:val>
            <c:numRef>
              <c:f>SpeakerCorrection2!$E$56:$E$77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SpeakerCorrection2!$F$56:$F$77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SpeakerCorrection2!$G$56:$G$77</c:f>
              <c:numCache/>
            </c:numRef>
          </c:val>
          <c:smooth val="1"/>
        </c:ser>
        <c:ser>
          <c:idx val="3"/>
          <c:order val="3"/>
          <c:tx>
            <c:v>Ultra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SpeakerCorrection2!$H$56:$H$77</c:f>
              <c:numCache/>
            </c:numRef>
          </c:val>
          <c:smooth val="0"/>
        </c:ser>
        <c:marker val="1"/>
        <c:axId val="34458664"/>
        <c:axId val="41692521"/>
      </c:lineChart>
      <c:catAx>
        <c:axId val="34458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（Ｈｚ）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41692521"/>
        <c:crosses val="autoZero"/>
        <c:auto val="1"/>
        <c:lblOffset val="100"/>
        <c:tickLblSkip val="2"/>
        <c:noMultiLvlLbl val="0"/>
      </c:catAx>
      <c:valAx>
        <c:axId val="41692521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Output Voltage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58664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875"/>
          <c:w val="0.6275"/>
          <c:h val="0.0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Output Voltage to speakers ( Adjusting rate = 0 dB )</a:t>
            </a:r>
          </a:p>
        </c:rich>
      </c:tx>
      <c:layout>
        <c:manualLayout>
          <c:xMode val="factor"/>
          <c:yMode val="factor"/>
          <c:x val="0.048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8"/>
          <c:w val="0.8855"/>
          <c:h val="0.76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SpeakerCorrection3!$B$56:$B$77</c:f>
              <c:strCache/>
            </c:strRef>
          </c:cat>
          <c:val>
            <c:numRef>
              <c:f>SpeakerCorrection3!$E$56:$E$77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SpeakerCorrection3!$F$56:$F$77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SpeakerCorrection3!$G$56:$G$77</c:f>
              <c:numCache/>
            </c:numRef>
          </c:val>
          <c:smooth val="0"/>
        </c:ser>
        <c:ser>
          <c:idx val="3"/>
          <c:order val="3"/>
          <c:tx>
            <c:v>Ultra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SpeakerCorrection3!$H$56:$H$77</c:f>
              <c:numCache/>
            </c:numRef>
          </c:val>
          <c:smooth val="0"/>
        </c:ser>
        <c:marker val="1"/>
        <c:axId val="39688370"/>
        <c:axId val="21651011"/>
      </c:lineChart>
      <c:catAx>
        <c:axId val="3968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（Ｈｚ）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21651011"/>
        <c:crosses val="autoZero"/>
        <c:auto val="1"/>
        <c:lblOffset val="100"/>
        <c:tickLblSkip val="2"/>
        <c:noMultiLvlLbl val="0"/>
      </c:catAx>
      <c:valAx>
        <c:axId val="21651011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Output Voltage (dB)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370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"/>
          <c:y val="0.9185"/>
          <c:w val="0.629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Output Voltage to speakers ( Adjusting rate = 0 dB )</a:t>
            </a:r>
          </a:p>
        </c:rich>
      </c:tx>
      <c:layout>
        <c:manualLayout>
          <c:xMode val="factor"/>
          <c:yMode val="factor"/>
          <c:x val="0.064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275"/>
          <c:w val="0.89675"/>
          <c:h val="0.7502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SpeakerCorrection4!$B$56:$B$77</c:f>
              <c:strCache/>
            </c:strRef>
          </c:cat>
          <c:val>
            <c:numRef>
              <c:f>SpeakerCorrection4!$E$56:$E$77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SpeakerCorrection4!$F$56:$F$77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SpeakerCorrection4!$G$56:$G$77</c:f>
              <c:numCache/>
            </c:numRef>
          </c:val>
          <c:smooth val="1"/>
        </c:ser>
        <c:ser>
          <c:idx val="3"/>
          <c:order val="3"/>
          <c:tx>
            <c:v>Ultra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SpeakerCorrection4!$H$56:$H$77</c:f>
              <c:numCache/>
            </c:numRef>
          </c:val>
          <c:smooth val="0"/>
        </c:ser>
        <c:marker val="1"/>
        <c:axId val="60641372"/>
        <c:axId val="8901437"/>
      </c:lineChart>
      <c:catAx>
        <c:axId val="60641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（Ｈｚ）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8901437"/>
        <c:crosses val="autoZero"/>
        <c:auto val="1"/>
        <c:lblOffset val="100"/>
        <c:tickLblSkip val="2"/>
        <c:noMultiLvlLbl val="0"/>
      </c:catAx>
      <c:valAx>
        <c:axId val="8901437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Output Voltage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41372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875"/>
          <c:w val="0.6275"/>
          <c:h val="0.0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4.jpeg" /><Relationship Id="rId3" Type="http://schemas.openxmlformats.org/officeDocument/2006/relationships/image" Target="../media/image12.jpeg" /><Relationship Id="rId4" Type="http://schemas.openxmlformats.org/officeDocument/2006/relationships/image" Target="../media/image15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9525</xdr:rowOff>
    </xdr:from>
    <xdr:to>
      <xdr:col>9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1905000" y="200025"/>
        <a:ext cx="4981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419100</xdr:colOff>
      <xdr:row>10</xdr:row>
      <xdr:rowOff>180975</xdr:rowOff>
    </xdr:to>
    <xdr:pic>
      <xdr:nvPicPr>
        <xdr:cNvPr id="2" name="Picture 3" descr="C:\データファィル\スピーカーネットワーク\設計プログラム\４ｗａｙ０６ｄＢ／ｏｃｔ\４ｗａｙ６ｄＢ／ｏｃｔ全並列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9550"/>
          <a:ext cx="1876425" cy="1876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1</xdr:col>
      <xdr:colOff>419100</xdr:colOff>
      <xdr:row>15</xdr:row>
      <xdr:rowOff>0</xdr:rowOff>
    </xdr:to>
    <xdr:pic>
      <xdr:nvPicPr>
        <xdr:cNvPr id="3" name="Picture 11" descr="E:\データファィル\スピーカーネットワーク\設計プログラム\NetworkCircuitDsign\スピーカー補正回路\抵抗減衰器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05025"/>
          <a:ext cx="1876425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9525</xdr:rowOff>
    </xdr:from>
    <xdr:to>
      <xdr:col>9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1866900" y="200025"/>
        <a:ext cx="50577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371475</xdr:colOff>
      <xdr:row>10</xdr:row>
      <xdr:rowOff>171450</xdr:rowOff>
    </xdr:to>
    <xdr:pic>
      <xdr:nvPicPr>
        <xdr:cNvPr id="2" name="Picture 3" descr="C:\データファィル\スピーカーネットワーク\設計プログラム\４ｗａｙ１２ｄＢ／ｏｃｔ\新方式４ｗａｙ１２ｄＢ／ｏｃｔ全並列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19075"/>
          <a:ext cx="1819275" cy="18573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0</xdr:rowOff>
    </xdr:from>
    <xdr:to>
      <xdr:col>1</xdr:col>
      <xdr:colOff>371475</xdr:colOff>
      <xdr:row>14</xdr:row>
      <xdr:rowOff>180975</xdr:rowOff>
    </xdr:to>
    <xdr:pic>
      <xdr:nvPicPr>
        <xdr:cNvPr id="3" name="Picture 9" descr="E:\データファィル\スピーカーネットワーク\設計プログラム\NetworkCircuitDsign\スピーカー補正回路\抵抗減衰器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95500"/>
          <a:ext cx="1828800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9525</xdr:rowOff>
    </xdr:from>
    <xdr:to>
      <xdr:col>8</xdr:col>
      <xdr:colOff>0</xdr:colOff>
      <xdr:row>15</xdr:row>
      <xdr:rowOff>0</xdr:rowOff>
    </xdr:to>
    <xdr:graphicFrame>
      <xdr:nvGraphicFramePr>
        <xdr:cNvPr id="1" name="グラフ 2"/>
        <xdr:cNvGraphicFramePr/>
      </xdr:nvGraphicFramePr>
      <xdr:xfrm>
        <a:off x="2619375" y="200025"/>
        <a:ext cx="4219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1333500</xdr:colOff>
      <xdr:row>8</xdr:row>
      <xdr:rowOff>0</xdr:rowOff>
    </xdr:to>
    <xdr:pic>
      <xdr:nvPicPr>
        <xdr:cNvPr id="2" name="Picture 37" descr="E:\データファィル\スピーカーネットワーク\設計プログラム\NetworkCircuitDsign\スピーカー補正回路\SeriesHighpass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1333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1333500</xdr:colOff>
      <xdr:row>14</xdr:row>
      <xdr:rowOff>180975</xdr:rowOff>
    </xdr:to>
    <xdr:pic>
      <xdr:nvPicPr>
        <xdr:cNvPr id="3" name="Picture 38" descr="E:\データファィル\スピーカーネットワーク\設計プログラム\NetworkCircuitDsign\スピーカー補正回路\SeriesLowpass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24000"/>
          <a:ext cx="1333500" cy="1323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1352550</xdr:colOff>
      <xdr:row>1</xdr:row>
      <xdr:rowOff>9525</xdr:rowOff>
    </xdr:from>
    <xdr:to>
      <xdr:col>2</xdr:col>
      <xdr:colOff>57150</xdr:colOff>
      <xdr:row>11</xdr:row>
      <xdr:rowOff>0</xdr:rowOff>
    </xdr:to>
    <xdr:pic>
      <xdr:nvPicPr>
        <xdr:cNvPr id="4" name="Picture 39" descr="E:\データファィル\スピーカーネットワーク\設計プログラム\NetworkCircuitDsign\スピーカー補正回路\SeriesBandpass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200025"/>
          <a:ext cx="1257300" cy="1895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1352550</xdr:colOff>
      <xdr:row>11</xdr:row>
      <xdr:rowOff>19050</xdr:rowOff>
    </xdr:from>
    <xdr:to>
      <xdr:col>2</xdr:col>
      <xdr:colOff>57150</xdr:colOff>
      <xdr:row>14</xdr:row>
      <xdr:rowOff>180975</xdr:rowOff>
    </xdr:to>
    <xdr:pic>
      <xdr:nvPicPr>
        <xdr:cNvPr id="5" name="Picture 40" descr="E:\データファィル\スピーカーネットワーク\設計プログラム\NetworkCircuitDsign\スピーカー補正回路\Attenuator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2114550"/>
          <a:ext cx="1257300" cy="733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0</xdr:rowOff>
    </xdr:from>
    <xdr:to>
      <xdr:col>8</xdr:col>
      <xdr:colOff>0</xdr:colOff>
      <xdr:row>15</xdr:row>
      <xdr:rowOff>0</xdr:rowOff>
    </xdr:to>
    <xdr:graphicFrame>
      <xdr:nvGraphicFramePr>
        <xdr:cNvPr id="1" name="グラフ 2"/>
        <xdr:cNvGraphicFramePr/>
      </xdr:nvGraphicFramePr>
      <xdr:xfrm>
        <a:off x="2609850" y="190500"/>
        <a:ext cx="4229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1323975</xdr:colOff>
      <xdr:row>7</xdr:row>
      <xdr:rowOff>180975</xdr:rowOff>
    </xdr:to>
    <xdr:pic>
      <xdr:nvPicPr>
        <xdr:cNvPr id="2" name="Picture 37" descr="E:\データファィル\スピーカーネットワーク\設計プログラム\NetworkCircuitDsign\スピーカー補正回路\ParallelHighpass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323975" cy="1304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0</xdr:col>
      <xdr:colOff>1333500</xdr:colOff>
      <xdr:row>14</xdr:row>
      <xdr:rowOff>180975</xdr:rowOff>
    </xdr:to>
    <xdr:pic>
      <xdr:nvPicPr>
        <xdr:cNvPr id="3" name="Picture 38" descr="E:\データファィル\スピーカーネットワーク\設計プログラム\NetworkCircuitDsign\スピーカー補正回路\ParallelLowpass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1323975" cy="1323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1352550</xdr:colOff>
      <xdr:row>1</xdr:row>
      <xdr:rowOff>19050</xdr:rowOff>
    </xdr:from>
    <xdr:to>
      <xdr:col>2</xdr:col>
      <xdr:colOff>47625</xdr:colOff>
      <xdr:row>10</xdr:row>
      <xdr:rowOff>171450</xdr:rowOff>
    </xdr:to>
    <xdr:pic>
      <xdr:nvPicPr>
        <xdr:cNvPr id="4" name="Picture 39" descr="E:\データファィル\スピーカーネットワーク\設計プログラム\NetworkCircuitDsign\スピーカー補正回路\ParallelBandpass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209550"/>
          <a:ext cx="1247775" cy="1866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1343025</xdr:colOff>
      <xdr:row>11</xdr:row>
      <xdr:rowOff>9525</xdr:rowOff>
    </xdr:from>
    <xdr:to>
      <xdr:col>2</xdr:col>
      <xdr:colOff>47625</xdr:colOff>
      <xdr:row>14</xdr:row>
      <xdr:rowOff>180975</xdr:rowOff>
    </xdr:to>
    <xdr:pic>
      <xdr:nvPicPr>
        <xdr:cNvPr id="5" name="Picture 40" descr="E:\データファィル\スピーカーネットワーク\設計プログラム\NetworkCircuitDsign\スピーカー補正回路\Attenuator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" y="2105025"/>
          <a:ext cx="1257300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9525</xdr:rowOff>
    </xdr:from>
    <xdr:to>
      <xdr:col>8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2619375" y="200025"/>
        <a:ext cx="4219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1352550</xdr:colOff>
      <xdr:row>8</xdr:row>
      <xdr:rowOff>0</xdr:rowOff>
    </xdr:to>
    <xdr:pic>
      <xdr:nvPicPr>
        <xdr:cNvPr id="2" name="Picture 32" descr="E:\データファィル\スピーカーネットワーク\設計プログラム\NetworkCircuitDsign\スピーカー補正回路\SeriesHighpass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52550" cy="1333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1343025</xdr:colOff>
      <xdr:row>14</xdr:row>
      <xdr:rowOff>180975</xdr:rowOff>
    </xdr:to>
    <xdr:pic>
      <xdr:nvPicPr>
        <xdr:cNvPr id="3" name="Picture 33" descr="E:\データファィル\スピーカーネットワーク\設計プログラム\NetworkCircuitDsign\スピーカー補正回路\SeriesLowpass1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43050"/>
          <a:ext cx="1343025" cy="1304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1362075</xdr:colOff>
      <xdr:row>1</xdr:row>
      <xdr:rowOff>0</xdr:rowOff>
    </xdr:from>
    <xdr:to>
      <xdr:col>2</xdr:col>
      <xdr:colOff>57150</xdr:colOff>
      <xdr:row>10</xdr:row>
      <xdr:rowOff>161925</xdr:rowOff>
    </xdr:to>
    <xdr:pic>
      <xdr:nvPicPr>
        <xdr:cNvPr id="4" name="Picture 34" descr="E:\データファィル\スピーカーネットワーク\設計プログラム\NetworkCircuitDsign\スピーカー補正回路\SeriesBandpass1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190500"/>
          <a:ext cx="1247775" cy="1876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1362075</xdr:colOff>
      <xdr:row>10</xdr:row>
      <xdr:rowOff>180975</xdr:rowOff>
    </xdr:from>
    <xdr:to>
      <xdr:col>2</xdr:col>
      <xdr:colOff>66675</xdr:colOff>
      <xdr:row>14</xdr:row>
      <xdr:rowOff>180975</xdr:rowOff>
    </xdr:to>
    <xdr:pic>
      <xdr:nvPicPr>
        <xdr:cNvPr id="5" name="Picture 35" descr="E:\データファィル\スピーカーネットワーク\設計プログラム\NetworkCircuitDsign\スピーカー補正回路\Attenuator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2075" y="2085975"/>
          <a:ext cx="1257300" cy="762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0</xdr:rowOff>
    </xdr:from>
    <xdr:to>
      <xdr:col>8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2609850" y="190500"/>
        <a:ext cx="4229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1314450</xdr:colOff>
      <xdr:row>8</xdr:row>
      <xdr:rowOff>0</xdr:rowOff>
    </xdr:to>
    <xdr:pic>
      <xdr:nvPicPr>
        <xdr:cNvPr id="2" name="Picture 30" descr="E:\データファィル\スピーカーネットワーク\設計プログラム\NetworkCircuitDsign\スピーカー補正回路\ParallelHighpass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314450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1314450</xdr:colOff>
      <xdr:row>14</xdr:row>
      <xdr:rowOff>180975</xdr:rowOff>
    </xdr:to>
    <xdr:pic>
      <xdr:nvPicPr>
        <xdr:cNvPr id="3" name="Picture 31" descr="E:\データファィル\スピーカーネットワーク\設計プログラム\NetworkCircuitDsign\スピーカー補正回路\SeriesLowpass1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33525"/>
          <a:ext cx="1314450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1333500</xdr:colOff>
      <xdr:row>1</xdr:row>
      <xdr:rowOff>9525</xdr:rowOff>
    </xdr:from>
    <xdr:to>
      <xdr:col>2</xdr:col>
      <xdr:colOff>47625</xdr:colOff>
      <xdr:row>11</xdr:row>
      <xdr:rowOff>0</xdr:rowOff>
    </xdr:to>
    <xdr:pic>
      <xdr:nvPicPr>
        <xdr:cNvPr id="4" name="Picture 32" descr="E:\データファィル\スピーカーネットワーク\設計プログラム\NetworkCircuitDsign\スピーカー補正回路\ParallelBandpass1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00025"/>
          <a:ext cx="1266825" cy="1895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1333500</xdr:colOff>
      <xdr:row>11</xdr:row>
      <xdr:rowOff>9525</xdr:rowOff>
    </xdr:from>
    <xdr:to>
      <xdr:col>2</xdr:col>
      <xdr:colOff>47625</xdr:colOff>
      <xdr:row>14</xdr:row>
      <xdr:rowOff>180975</xdr:rowOff>
    </xdr:to>
    <xdr:pic>
      <xdr:nvPicPr>
        <xdr:cNvPr id="5" name="Picture 33" descr="E:\データファィル\スピーカーネットワーク\設計プログラム\NetworkCircuitDsign\スピーカー補正回路\Attenuator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0" y="2105025"/>
          <a:ext cx="126682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9" max="9" width="9.125" style="0" bestFit="1" customWidth="1"/>
    <col min="10" max="15" width="11.125" style="0" customWidth="1"/>
  </cols>
  <sheetData>
    <row r="1" spans="1:10" ht="15" customHeight="1">
      <c r="A1" s="75" t="s">
        <v>134</v>
      </c>
      <c r="B1" s="76"/>
      <c r="C1" s="76"/>
      <c r="D1" s="76"/>
      <c r="E1" s="76"/>
      <c r="F1" s="76"/>
      <c r="G1" s="77"/>
      <c r="H1" s="28" t="s">
        <v>123</v>
      </c>
      <c r="I1" s="29" t="s">
        <v>122</v>
      </c>
      <c r="J1" s="50" t="s">
        <v>108</v>
      </c>
    </row>
    <row r="2" spans="1:17" ht="15" customHeight="1">
      <c r="A2" s="21"/>
      <c r="B2" s="22"/>
      <c r="C2" s="22"/>
      <c r="D2" s="22"/>
      <c r="E2" s="22"/>
      <c r="F2" s="22"/>
      <c r="G2" s="22"/>
      <c r="H2" s="22"/>
      <c r="I2" s="23"/>
      <c r="J2" s="51" t="s">
        <v>109</v>
      </c>
      <c r="K2" s="1"/>
      <c r="L2" s="1"/>
      <c r="M2" s="1"/>
      <c r="N2" s="1"/>
      <c r="O2" s="1"/>
      <c r="P2" s="1"/>
      <c r="Q2" s="1"/>
    </row>
    <row r="3" spans="1:17" ht="15" customHeight="1">
      <c r="A3" s="24"/>
      <c r="B3" s="25"/>
      <c r="C3" s="25"/>
      <c r="D3" s="25"/>
      <c r="E3" s="25"/>
      <c r="F3" s="25"/>
      <c r="G3" s="25"/>
      <c r="H3" s="25"/>
      <c r="I3" s="26"/>
      <c r="J3" s="1" t="s">
        <v>111</v>
      </c>
      <c r="K3" s="1"/>
      <c r="L3" s="1"/>
      <c r="M3" s="1"/>
      <c r="N3" s="1"/>
      <c r="O3" s="1"/>
      <c r="P3" s="1"/>
      <c r="Q3" s="1"/>
    </row>
    <row r="4" spans="1:17" ht="15" customHeight="1">
      <c r="A4" s="24"/>
      <c r="B4" s="25"/>
      <c r="C4" s="25"/>
      <c r="D4" s="25"/>
      <c r="E4" s="25"/>
      <c r="F4" s="25"/>
      <c r="G4" s="25"/>
      <c r="H4" s="25"/>
      <c r="I4" s="26"/>
      <c r="J4" s="1" t="s">
        <v>112</v>
      </c>
      <c r="K4" s="1"/>
      <c r="L4" s="1"/>
      <c r="M4" s="1"/>
      <c r="N4" s="1"/>
      <c r="O4" s="1"/>
      <c r="P4" s="1"/>
      <c r="Q4" s="1"/>
    </row>
    <row r="5" spans="1:17" ht="15" customHeight="1">
      <c r="A5" s="24"/>
      <c r="B5" s="25"/>
      <c r="C5" s="25"/>
      <c r="D5" s="25"/>
      <c r="E5" s="25"/>
      <c r="F5" s="25"/>
      <c r="G5" s="25"/>
      <c r="H5" s="25"/>
      <c r="I5" s="26"/>
      <c r="J5" s="1" t="s">
        <v>113</v>
      </c>
      <c r="K5" s="1"/>
      <c r="L5" s="1"/>
      <c r="M5" s="1"/>
      <c r="N5" s="1"/>
      <c r="O5" s="1"/>
      <c r="P5" s="1"/>
      <c r="Q5" s="1"/>
    </row>
    <row r="6" spans="1:17" ht="15" customHeight="1">
      <c r="A6" s="24"/>
      <c r="B6" s="25"/>
      <c r="C6" s="25"/>
      <c r="D6" s="25"/>
      <c r="E6" s="25"/>
      <c r="F6" s="25"/>
      <c r="G6" s="25"/>
      <c r="H6" s="25"/>
      <c r="I6" s="26"/>
      <c r="J6" s="51" t="s">
        <v>110</v>
      </c>
      <c r="K6" s="1"/>
      <c r="L6" s="1"/>
      <c r="M6" s="1"/>
      <c r="N6" s="1"/>
      <c r="O6" s="1"/>
      <c r="P6" s="1"/>
      <c r="Q6" s="1"/>
    </row>
    <row r="7" spans="1:17" ht="15" customHeight="1">
      <c r="A7" s="24"/>
      <c r="B7" s="25"/>
      <c r="C7" s="25"/>
      <c r="D7" s="25"/>
      <c r="E7" s="25"/>
      <c r="F7" s="25"/>
      <c r="G7" s="25"/>
      <c r="H7" s="25"/>
      <c r="I7" s="26"/>
      <c r="J7" s="1" t="s">
        <v>114</v>
      </c>
      <c r="K7" s="1"/>
      <c r="L7" s="1"/>
      <c r="M7" s="1"/>
      <c r="N7" s="1"/>
      <c r="O7" s="1"/>
      <c r="P7" s="1"/>
      <c r="Q7" s="1"/>
    </row>
    <row r="8" spans="1:17" ht="15" customHeight="1">
      <c r="A8" s="24"/>
      <c r="B8" s="25"/>
      <c r="C8" s="25"/>
      <c r="D8" s="25"/>
      <c r="E8" s="25"/>
      <c r="F8" s="25"/>
      <c r="G8" s="25"/>
      <c r="H8" s="25"/>
      <c r="I8" s="26"/>
      <c r="J8" s="1" t="s">
        <v>115</v>
      </c>
      <c r="K8" s="1"/>
      <c r="L8" s="1"/>
      <c r="M8" s="1"/>
      <c r="N8" s="1"/>
      <c r="O8" s="1"/>
      <c r="P8" s="1"/>
      <c r="Q8" s="1"/>
    </row>
    <row r="9" spans="1:17" ht="15" customHeight="1">
      <c r="A9" s="24"/>
      <c r="B9" s="25"/>
      <c r="C9" s="25"/>
      <c r="D9" s="25"/>
      <c r="E9" s="25"/>
      <c r="F9" s="25"/>
      <c r="G9" s="25"/>
      <c r="H9" s="25"/>
      <c r="I9" s="26"/>
      <c r="J9" s="1" t="s">
        <v>116</v>
      </c>
      <c r="K9" s="1"/>
      <c r="L9" s="1"/>
      <c r="M9" s="1"/>
      <c r="N9" s="1"/>
      <c r="O9" s="1"/>
      <c r="P9" s="1"/>
      <c r="Q9" s="1"/>
    </row>
    <row r="10" spans="1:17" ht="15" customHeight="1">
      <c r="A10" s="24"/>
      <c r="B10" s="25"/>
      <c r="C10" s="25"/>
      <c r="D10" s="25"/>
      <c r="E10" s="25"/>
      <c r="F10" s="25"/>
      <c r="G10" s="25"/>
      <c r="H10" s="25"/>
      <c r="I10" s="26"/>
      <c r="J10" s="1" t="s">
        <v>117</v>
      </c>
      <c r="K10" s="1"/>
      <c r="L10" s="1"/>
      <c r="M10" s="1"/>
      <c r="N10" s="1"/>
      <c r="O10" s="1"/>
      <c r="P10" s="1"/>
      <c r="Q10" s="1"/>
    </row>
    <row r="11" spans="1:17" ht="15" customHeight="1">
      <c r="A11" s="24"/>
      <c r="B11" s="25"/>
      <c r="C11" s="25"/>
      <c r="D11" s="25"/>
      <c r="E11" s="25"/>
      <c r="F11" s="25"/>
      <c r="G11" s="25"/>
      <c r="H11" s="25"/>
      <c r="I11" s="26"/>
      <c r="J11" s="1" t="s">
        <v>118</v>
      </c>
      <c r="K11" s="1"/>
      <c r="L11" s="1"/>
      <c r="M11" s="1"/>
      <c r="N11" s="1"/>
      <c r="O11" s="1"/>
      <c r="P11" s="1"/>
      <c r="Q11" s="1"/>
    </row>
    <row r="12" spans="1:17" ht="15" customHeight="1">
      <c r="A12" s="24"/>
      <c r="B12" s="25"/>
      <c r="C12" s="25"/>
      <c r="D12" s="25"/>
      <c r="E12" s="25"/>
      <c r="F12" s="25"/>
      <c r="G12" s="25"/>
      <c r="H12" s="25"/>
      <c r="I12" s="26"/>
      <c r="J12" s="1" t="s">
        <v>120</v>
      </c>
      <c r="K12" s="1"/>
      <c r="L12" s="1"/>
      <c r="M12" s="1"/>
      <c r="N12" s="1"/>
      <c r="O12" s="1"/>
      <c r="P12" s="1"/>
      <c r="Q12" s="1"/>
    </row>
    <row r="13" spans="1:17" ht="15" customHeight="1">
      <c r="A13" s="24"/>
      <c r="B13" s="25"/>
      <c r="C13" s="25"/>
      <c r="D13" s="25"/>
      <c r="E13" s="25"/>
      <c r="F13" s="25"/>
      <c r="G13" s="25"/>
      <c r="H13" s="25"/>
      <c r="I13" s="26"/>
      <c r="J13" s="1" t="s">
        <v>119</v>
      </c>
      <c r="K13" s="1"/>
      <c r="L13" s="1"/>
      <c r="M13" s="1"/>
      <c r="N13" s="1"/>
      <c r="O13" s="1"/>
      <c r="P13" s="1"/>
      <c r="Q13" s="1"/>
    </row>
    <row r="14" spans="1:17" ht="15" customHeight="1">
      <c r="A14" s="24"/>
      <c r="B14" s="25"/>
      <c r="C14" s="25"/>
      <c r="D14" s="25"/>
      <c r="E14" s="25"/>
      <c r="F14" s="25"/>
      <c r="G14" s="25"/>
      <c r="H14" s="25"/>
      <c r="I14" s="26"/>
      <c r="J14" s="88" t="s">
        <v>181</v>
      </c>
      <c r="K14" s="1"/>
      <c r="L14" s="1"/>
      <c r="M14" s="1"/>
      <c r="N14" s="1"/>
      <c r="O14" s="1"/>
      <c r="P14" s="1"/>
      <c r="Q14" s="1"/>
    </row>
    <row r="15" spans="1:17" ht="15" customHeight="1">
      <c r="A15" s="24"/>
      <c r="B15" s="25"/>
      <c r="C15" s="25"/>
      <c r="D15" s="25"/>
      <c r="E15" s="25"/>
      <c r="F15" s="25"/>
      <c r="G15" s="25"/>
      <c r="H15" s="25"/>
      <c r="I15" s="26"/>
      <c r="J15" s="87" t="s">
        <v>182</v>
      </c>
      <c r="K15" s="1"/>
      <c r="L15" s="1"/>
      <c r="M15" s="1"/>
      <c r="N15" s="1"/>
      <c r="O15" s="1"/>
      <c r="P15" s="1"/>
      <c r="Q15" s="1"/>
    </row>
    <row r="16" spans="1:17" ht="15" customHeight="1">
      <c r="A16" s="11" t="s">
        <v>69</v>
      </c>
      <c r="B16" s="10" t="s">
        <v>76</v>
      </c>
      <c r="C16" s="11" t="s">
        <v>135</v>
      </c>
      <c r="D16" s="2" t="s">
        <v>103</v>
      </c>
      <c r="E16" s="15">
        <v>200</v>
      </c>
      <c r="F16" s="15">
        <v>1000</v>
      </c>
      <c r="G16" s="15">
        <v>5000</v>
      </c>
      <c r="H16" s="65" t="s">
        <v>180</v>
      </c>
      <c r="I16" s="66"/>
      <c r="J16" s="89" t="s">
        <v>183</v>
      </c>
      <c r="K16" s="1"/>
      <c r="L16" s="1"/>
      <c r="M16" s="1"/>
      <c r="N16" s="1"/>
      <c r="O16" s="1"/>
      <c r="P16" s="1"/>
      <c r="Q16" s="1"/>
    </row>
    <row r="17" spans="1:17" ht="15" customHeight="1">
      <c r="A17" s="33" t="s">
        <v>70</v>
      </c>
      <c r="B17" s="10" t="s">
        <v>77</v>
      </c>
      <c r="C17" s="11"/>
      <c r="D17" s="2" t="s">
        <v>101</v>
      </c>
      <c r="E17" s="42" t="s">
        <v>137</v>
      </c>
      <c r="F17" s="30"/>
      <c r="G17" s="30"/>
      <c r="H17" s="35" t="s">
        <v>90</v>
      </c>
      <c r="I17" s="36"/>
      <c r="J17" s="87" t="s">
        <v>184</v>
      </c>
      <c r="K17" s="1"/>
      <c r="L17" s="1"/>
      <c r="M17" s="1"/>
      <c r="N17" s="1"/>
      <c r="O17" s="1"/>
      <c r="P17" s="1"/>
      <c r="Q17" s="1"/>
    </row>
    <row r="18" spans="1:17" ht="15" customHeight="1">
      <c r="A18" s="78" t="s">
        <v>71</v>
      </c>
      <c r="B18" s="10" t="s">
        <v>78</v>
      </c>
      <c r="C18" s="11" t="s">
        <v>130</v>
      </c>
      <c r="D18" s="2" t="s">
        <v>104</v>
      </c>
      <c r="E18" s="3">
        <f>$I$21*10^3/(2*PI()*$F$16)</f>
        <v>0.9549296585513721</v>
      </c>
      <c r="F18" s="3">
        <f>$I$21*10^3/(2*PI()*$E$16)</f>
        <v>4.77464829275686</v>
      </c>
      <c r="G18" s="3">
        <f>$I$21*10^3/(2*PI()*$G$16)</f>
        <v>0.1909859317102744</v>
      </c>
      <c r="H18" s="3"/>
      <c r="I18" s="3"/>
      <c r="J18" s="87" t="s">
        <v>185</v>
      </c>
      <c r="K18" s="1"/>
      <c r="L18" s="1"/>
      <c r="M18" s="1"/>
      <c r="N18" s="1"/>
      <c r="O18" s="1"/>
      <c r="P18" s="1"/>
      <c r="Q18" s="1"/>
    </row>
    <row r="19" spans="1:17" ht="15" customHeight="1">
      <c r="A19" s="79"/>
      <c r="B19" s="10" t="s">
        <v>79</v>
      </c>
      <c r="C19" s="11" t="s">
        <v>131</v>
      </c>
      <c r="D19" s="52" t="s">
        <v>105</v>
      </c>
      <c r="E19" s="3">
        <f>10^6/(2*PI()*$F$16*$I$21)</f>
        <v>26.525823848649225</v>
      </c>
      <c r="F19" s="3">
        <f>10^6/(2*PI()*$E$16*$I$21)</f>
        <v>132.62911924324612</v>
      </c>
      <c r="G19" s="3">
        <f>10^6/(2*PI()*$G$16*$I$21)</f>
        <v>5.305164769729845</v>
      </c>
      <c r="H19" s="3"/>
      <c r="I19" s="3"/>
      <c r="J19" s="87" t="s">
        <v>186</v>
      </c>
      <c r="K19" s="1"/>
      <c r="L19" s="1"/>
      <c r="M19" s="1"/>
      <c r="N19" s="1"/>
      <c r="O19" s="1"/>
      <c r="P19" s="1"/>
      <c r="Q19" s="1"/>
    </row>
    <row r="20" spans="1:17" ht="12" customHeight="1">
      <c r="A20" s="27" t="s">
        <v>72</v>
      </c>
      <c r="B20" s="70" t="s">
        <v>80</v>
      </c>
      <c r="C20" s="71"/>
      <c r="D20" s="27" t="s">
        <v>88</v>
      </c>
      <c r="E20" s="2" t="s">
        <v>121</v>
      </c>
      <c r="F20" s="2" t="s">
        <v>124</v>
      </c>
      <c r="G20" s="2" t="s">
        <v>128</v>
      </c>
      <c r="H20" s="31" t="s">
        <v>136</v>
      </c>
      <c r="I20" s="2" t="s">
        <v>125</v>
      </c>
      <c r="J20" s="87" t="s">
        <v>187</v>
      </c>
      <c r="K20" s="1"/>
      <c r="L20" s="1"/>
      <c r="M20" s="1"/>
      <c r="N20" s="1"/>
      <c r="O20" s="1"/>
      <c r="P20" s="1"/>
      <c r="Q20" s="1"/>
    </row>
    <row r="21" spans="1:17" ht="12" customHeight="1">
      <c r="A21" s="11" t="s">
        <v>73</v>
      </c>
      <c r="B21" s="13" t="s">
        <v>142</v>
      </c>
      <c r="C21" s="14" t="s">
        <v>56</v>
      </c>
      <c r="D21" s="2" t="s">
        <v>100</v>
      </c>
      <c r="E21" s="38">
        <v>6</v>
      </c>
      <c r="F21" s="38">
        <v>6</v>
      </c>
      <c r="G21" s="38">
        <v>6</v>
      </c>
      <c r="H21" s="38">
        <v>6</v>
      </c>
      <c r="I21" s="16">
        <v>6</v>
      </c>
      <c r="J21" s="87" t="s">
        <v>188</v>
      </c>
      <c r="K21" s="1"/>
      <c r="L21" s="1"/>
      <c r="M21" s="1"/>
      <c r="N21" s="1"/>
      <c r="O21" s="1"/>
      <c r="P21" s="1"/>
      <c r="Q21" s="1"/>
    </row>
    <row r="22" spans="1:17" ht="12" customHeight="1">
      <c r="A22" s="10" t="s">
        <v>74</v>
      </c>
      <c r="B22" s="13" t="s">
        <v>142</v>
      </c>
      <c r="C22" s="11" t="s">
        <v>62</v>
      </c>
      <c r="D22" s="2" t="s">
        <v>106</v>
      </c>
      <c r="E22" s="38">
        <v>91</v>
      </c>
      <c r="F22" s="38">
        <v>91</v>
      </c>
      <c r="G22" s="38">
        <v>91</v>
      </c>
      <c r="H22" s="38">
        <v>91</v>
      </c>
      <c r="I22" s="8">
        <v>91</v>
      </c>
      <c r="J22" s="1"/>
      <c r="K22" s="1"/>
      <c r="L22" s="1"/>
      <c r="M22" s="1"/>
      <c r="N22" s="1"/>
      <c r="O22" s="1"/>
      <c r="P22" s="1"/>
      <c r="Q22" s="1"/>
    </row>
    <row r="23" spans="1:17" ht="12" customHeight="1">
      <c r="A23" s="72" t="s">
        <v>75</v>
      </c>
      <c r="B23" s="10" t="s">
        <v>84</v>
      </c>
      <c r="C23" s="11" t="s">
        <v>63</v>
      </c>
      <c r="D23" s="2" t="s">
        <v>107</v>
      </c>
      <c r="E23" s="8">
        <v>6</v>
      </c>
      <c r="F23" s="8">
        <v>6</v>
      </c>
      <c r="G23" s="8">
        <v>6</v>
      </c>
      <c r="H23" s="8">
        <v>6</v>
      </c>
      <c r="I23" s="20"/>
      <c r="J23" s="1"/>
      <c r="K23" s="1"/>
      <c r="L23" s="1"/>
      <c r="M23" s="1"/>
      <c r="N23" s="1"/>
      <c r="O23" s="1"/>
      <c r="P23" s="1"/>
      <c r="Q23" s="1"/>
    </row>
    <row r="24" spans="1:17" ht="12" customHeight="1">
      <c r="A24" s="73"/>
      <c r="B24" s="10" t="s">
        <v>81</v>
      </c>
      <c r="C24" s="11" t="s">
        <v>61</v>
      </c>
      <c r="D24" s="2" t="s">
        <v>106</v>
      </c>
      <c r="E24" s="8">
        <v>91</v>
      </c>
      <c r="F24" s="8">
        <v>91</v>
      </c>
      <c r="G24" s="8">
        <v>91</v>
      </c>
      <c r="H24" s="8">
        <v>91</v>
      </c>
      <c r="I24" s="12"/>
      <c r="J24" s="1"/>
      <c r="K24" s="1"/>
      <c r="L24" s="1"/>
      <c r="M24" s="1"/>
      <c r="N24" s="1"/>
      <c r="O24" s="1"/>
      <c r="P24" s="1"/>
      <c r="Q24" s="1"/>
    </row>
    <row r="25" spans="1:17" ht="12" customHeight="1">
      <c r="A25" s="73"/>
      <c r="B25" s="10" t="s">
        <v>82</v>
      </c>
      <c r="C25" s="11" t="s">
        <v>1</v>
      </c>
      <c r="D25" s="2"/>
      <c r="E25" s="9">
        <v>1</v>
      </c>
      <c r="F25" s="9">
        <v>1</v>
      </c>
      <c r="G25" s="9">
        <v>1</v>
      </c>
      <c r="H25" s="9">
        <v>1</v>
      </c>
      <c r="I25" s="12"/>
      <c r="J25" s="1"/>
      <c r="K25" s="1"/>
      <c r="L25" s="1"/>
      <c r="M25" s="1"/>
      <c r="N25" s="1"/>
      <c r="O25" s="1"/>
      <c r="P25" s="1"/>
      <c r="Q25" s="1"/>
    </row>
    <row r="26" spans="1:17" ht="12" customHeight="1">
      <c r="A26" s="73"/>
      <c r="B26" s="10" t="s">
        <v>83</v>
      </c>
      <c r="C26" s="11" t="s">
        <v>126</v>
      </c>
      <c r="D26" s="2" t="s">
        <v>107</v>
      </c>
      <c r="E26" s="12" t="str">
        <f>IF(E$21*E$22*E$23*E$24=0,"",IF(E$25=0,"",IF(E$22&gt;E$24+10*LOG(E$21/E$23),"Unable",IF(E$23/(10^((E$22-E$24-10*LOG(E$21/E$23))/20))-E$21=0,"Blank",IF(E$25=0,"",E$21*E$23/ABS(E$23/(10^((E$22-E$24-10*LOG(E$21/E$23))/20))-E$21))))))</f>
        <v>Blank</v>
      </c>
      <c r="F26" s="12" t="str">
        <f>IF(F$21*F$22*F$23*F$24=0,"",IF(F$25=0,"",IF(F$22&gt;F$24+10*LOG(F$21/F$23),"Unable",IF(F$23/(10^((F$22-F$24-10*LOG(F$21/F$23))/20))-F$21=0,"Blank",IF(F$25=0,"",F$21*F$23/ABS(F$23/(10^((F$22-F$24-10*LOG(F$21/F$23))/20))-F$21))))))</f>
        <v>Blank</v>
      </c>
      <c r="G26" s="12" t="str">
        <f>IF(G$21*G$22*G$23*G$24=0,"",IF(G$25=0,"",IF(G$22&gt;G$24+10*LOG(G$21/G$23),"Unable",IF(G$23/(10^((G$22-G$24-10*LOG(G$21/G$23))/20))-G$21=0,"Blank",IF(G$25=0,"",G$21*G$23/ABS(G$23/(10^((G$22-G$24-10*LOG(G$21/G$23))/20))-G$21))))))</f>
        <v>Blank</v>
      </c>
      <c r="H26" s="12" t="str">
        <f>IF(H$21*H$22*H$23*H$24=0,"",IF(H$25=0,"",IF(H$22&gt;H$24+10*LOG(H$21/H$23),"Unable",IF(H$23/(10^((H$22-H$24-10*LOG(H$21/H$23))/20))-H$21=0,"Blank",IF(H$25=0,"",H$21*H$23/ABS(H$23/(10^((H$22-H$24-10*LOG(H$21/H$23))/20))-H$21))))))</f>
        <v>Blank</v>
      </c>
      <c r="I26" s="20"/>
      <c r="J26" s="1"/>
      <c r="K26" s="1"/>
      <c r="L26" s="1"/>
      <c r="M26" s="1"/>
      <c r="N26" s="1"/>
      <c r="O26" s="1"/>
      <c r="P26" s="1"/>
      <c r="Q26" s="1"/>
    </row>
    <row r="27" spans="1:17" ht="12" customHeight="1">
      <c r="A27" s="73"/>
      <c r="B27" s="10" t="s">
        <v>85</v>
      </c>
      <c r="C27" s="11" t="s">
        <v>127</v>
      </c>
      <c r="D27" s="2" t="s">
        <v>107</v>
      </c>
      <c r="E27" s="12">
        <f>IF(E$21*E$22*E$23*E$24=0,"",IF(E$25=0,"",IF(E$24+E$30&lt;E$22,"Unable",IF(E$26="Unable","Unable",IF(E$26="Blank",E$21-E$23,E$21-E$26*E$23/(E$26+E$23))))))</f>
        <v>0</v>
      </c>
      <c r="F27" s="12">
        <f>IF(F$21*F$22*F$23*F$24=0,"",IF(F$25=0,"",IF(F$24+F$30&lt;F$22,"Unable",IF(F$26="Unable","Unable",IF(F$26="Blank",F$21-F$23,F$21-F$26*F$23/(F$26+F$23))))))</f>
        <v>0</v>
      </c>
      <c r="G27" s="12">
        <f>IF(G$21*G$22*G$23*G$24=0,"",IF(G$25=0,"",IF(G$24+G$30&lt;G$22,"Unable",IF(G$26="Unable","Unable",IF(G$26="Blank",G$21-G$23,G$21-G$26*G$23/(G$26+G$23))))))</f>
        <v>0</v>
      </c>
      <c r="H27" s="12">
        <f>IF(H$21*H$22*H$23*H$24=0,"",IF(H$25=0,"",IF(H$24+H$30&lt;H$22,"Unable",IF(H$26="Unable","Unable",IF(H$26="Blank",H$21-H$23,H$21-H$26*H$23/(H$26+H$23))))))</f>
        <v>0</v>
      </c>
      <c r="I27" s="12"/>
      <c r="J27" s="1"/>
      <c r="K27" s="1"/>
      <c r="L27" s="1"/>
      <c r="M27" s="1"/>
      <c r="N27" s="1"/>
      <c r="O27" s="1"/>
      <c r="P27" s="1"/>
      <c r="Q27" s="1"/>
    </row>
    <row r="28" spans="1:17" ht="12" customHeight="1">
      <c r="A28" s="73"/>
      <c r="B28" s="10" t="s">
        <v>86</v>
      </c>
      <c r="C28" s="19" t="s">
        <v>57</v>
      </c>
      <c r="D28" s="2" t="s">
        <v>107</v>
      </c>
      <c r="E28" s="20">
        <f>IF(E$21*E$22*E$23*E$24=0,"",IF(E$25=1,E$21,E$23))</f>
        <v>6</v>
      </c>
      <c r="F28" s="20">
        <f>IF(F$21*F$22*F$23*F$24=0,"",IF(F$25=1,F$21,F$23))</f>
        <v>6</v>
      </c>
      <c r="G28" s="20">
        <f>IF(G$21*G$22*G$23*G$24=0,"",IF(G$25=1,G$21,G$23))</f>
        <v>6</v>
      </c>
      <c r="H28" s="20">
        <f>IF(H$21*H$22*H$23*H$24=0,"",IF(H$25=1,H$21,H$23))</f>
        <v>6</v>
      </c>
      <c r="I28" s="12"/>
      <c r="J28" s="1"/>
      <c r="K28" s="1"/>
      <c r="L28" s="1"/>
      <c r="M28" s="1"/>
      <c r="N28" s="1"/>
      <c r="O28" s="1"/>
      <c r="P28" s="1"/>
      <c r="Q28" s="1"/>
    </row>
    <row r="29" spans="1:17" ht="12" customHeight="1">
      <c r="A29" s="73"/>
      <c r="B29" s="10" t="s">
        <v>87</v>
      </c>
      <c r="C29" s="11" t="s">
        <v>58</v>
      </c>
      <c r="D29" s="2" t="s">
        <v>89</v>
      </c>
      <c r="E29" s="12">
        <f>IF(E$21*E$22*E$23*E$24=0,"",10^(E$30/20))</f>
        <v>1</v>
      </c>
      <c r="F29" s="12">
        <f>IF(F$21*F$22*F$23*F$24=0,"",10^(F$30/20))</f>
        <v>1</v>
      </c>
      <c r="G29" s="12">
        <f>IF(G$21*G$22*G$23*G$24=0,"",10^(G$30/20))</f>
        <v>1</v>
      </c>
      <c r="H29" s="12">
        <f>IF(H$21*H$22*H$23*H$24=0,"",10^(H$30/20))</f>
        <v>1</v>
      </c>
      <c r="I29" s="12"/>
      <c r="J29" s="62" t="s">
        <v>173</v>
      </c>
      <c r="K29" s="63"/>
      <c r="L29" s="63"/>
      <c r="M29" s="63"/>
      <c r="N29" s="64"/>
      <c r="O29" s="57"/>
      <c r="P29" s="1"/>
      <c r="Q29" s="1"/>
    </row>
    <row r="30" spans="1:17" ht="12" customHeight="1">
      <c r="A30" s="74"/>
      <c r="B30" s="10" t="s">
        <v>87</v>
      </c>
      <c r="C30" s="11" t="s">
        <v>58</v>
      </c>
      <c r="D30" s="2" t="s">
        <v>98</v>
      </c>
      <c r="E30" s="12">
        <f>IF(E$21*E$22*E$23*E$24=0,"",IF(E$25=1,0,E$24-E$22+10*LOG(E$21/E$23)))</f>
        <v>0</v>
      </c>
      <c r="F30" s="12">
        <f>IF(F$21*F$22*F$23*F$24=0,"",IF(F$25=1,0,F$24-F$22+10*LOG(F$21/F$23)))</f>
        <v>0</v>
      </c>
      <c r="G30" s="12">
        <f>IF(G$21*G$22*G$23*G$24=0,"",IF(G$25=1,0,G$24-G$22+10*LOG(G$21/G$23)))</f>
        <v>0</v>
      </c>
      <c r="H30" s="12">
        <f>IF(H$21*H$22*H$23*H$24=0,"",IF(H$25=1,0,H$24-H$22+10*LOG(H$21/H$23)))</f>
        <v>0</v>
      </c>
      <c r="I30" s="12"/>
      <c r="J30" s="2" t="s">
        <v>174</v>
      </c>
      <c r="K30" s="2" t="s">
        <v>175</v>
      </c>
      <c r="L30" s="2" t="s">
        <v>176</v>
      </c>
      <c r="M30" s="31" t="s">
        <v>136</v>
      </c>
      <c r="N30" s="2" t="s">
        <v>177</v>
      </c>
      <c r="O30" s="58"/>
      <c r="P30" s="1"/>
      <c r="Q30" s="1"/>
    </row>
    <row r="31" spans="1:15" ht="12" customHeight="1">
      <c r="A31" s="67" t="s">
        <v>91</v>
      </c>
      <c r="B31" s="4">
        <v>20</v>
      </c>
      <c r="C31" s="5" t="s">
        <v>103</v>
      </c>
      <c r="D31" s="53" t="s">
        <v>102</v>
      </c>
      <c r="E31" s="3">
        <f>6/(I141^2+I163^2)^0.5/$I$21</f>
        <v>5.999999999999999</v>
      </c>
      <c r="F31" s="6"/>
      <c r="G31" s="3"/>
      <c r="H31" s="43" t="s">
        <v>64</v>
      </c>
      <c r="I31" s="3">
        <f>10*LOG((10^((IF($H$17=0,0,E185)+E$22-$I$22+E$30+20*LOG(1/((1-F163*E97)^2+F141^2*E97^2)^0.5*E$28/(E$28^2+F97^2)^0.5))/20))^2+(10^((IF($H$17=0,0,F185)+F$22-$I$22+F$30+20*LOG(1/((1-F163*E97)^2+F141^2*E97^2)^0.5*F$28/(F$28^2+F119^2)^0.5))/20))^2+(10^((IF($H$17=0,0,G185)+G$22-$I$22+G$30+20*LOG(1/((1+G163*E119)^2+G141^2*E119^2)^0.5*G$28/(G$28^2+G97^2)^0.5))/20))^2+(10^((IF($H$17=0,0,H185)+H$22-$I$22+H$30+20*LOG(1/((1+G163*E119)^2+G141^2*E119^2)^0.5*H$28/(H$28^2+G119^2)^0.5))/20))^2)+$N31</f>
        <v>0</v>
      </c>
      <c r="J31" s="55"/>
      <c r="K31" s="55"/>
      <c r="L31" s="55"/>
      <c r="M31" s="55"/>
      <c r="N31" s="56">
        <v>0</v>
      </c>
      <c r="O31" s="59" t="s">
        <v>178</v>
      </c>
    </row>
    <row r="32" spans="1:15" ht="12" customHeight="1">
      <c r="A32" s="60"/>
      <c r="B32" s="4">
        <v>30</v>
      </c>
      <c r="C32" s="5" t="s">
        <v>103</v>
      </c>
      <c r="D32" s="53" t="s">
        <v>102</v>
      </c>
      <c r="E32" s="3">
        <f aca="true" t="shared" si="0" ref="E32:E52">6/(I142^2+I164^2)^0.5/$I$21</f>
        <v>6</v>
      </c>
      <c r="F32" s="6"/>
      <c r="G32" s="3"/>
      <c r="H32" s="3">
        <f>IF(ABS($I76-$I75)&gt;180,ABS(360-ABS($I76-$I75))/($B98-$B97),ABS($I76-$I75)/($B98-$B97))*10</f>
        <v>3.572639966979015E-16</v>
      </c>
      <c r="I32" s="3">
        <f aca="true" t="shared" si="1" ref="I32:I52">10*LOG((10^((IF($H$17=0,0,E186)+E$22-$I$22+E$30+20*LOG(1/((1-F164*E98)^2+F142^2*E98^2)^0.5*E$28/(E$28^2+F98^2)^0.5))/20))^2+(10^((IF($H$17=0,0,F186)+F$22-$I$22+F$30+20*LOG(1/((1-F164*E98)^2+F142^2*E98^2)^0.5*F$28/(F$28^2+F120^2)^0.5))/20))^2+(10^((IF($H$17=0,0,G186)+G$22-$I$22+G$30+20*LOG(1/((1+G164*E120)^2+G142^2*E120^2)^0.5*G$28/(G$28^2+G98^2)^0.5))/20))^2+(10^((IF($H$17=0,0,H186)+H$22-$I$22+H$30+20*LOG(1/((1+G164*E120)^2+G142^2*E120^2)^0.5*H$28/(H$28^2+G120^2)^0.5))/20))^2)+$N32</f>
        <v>9.64327466553287E-16</v>
      </c>
      <c r="J32" s="55"/>
      <c r="K32" s="55"/>
      <c r="L32" s="55"/>
      <c r="M32" s="55"/>
      <c r="N32" s="56">
        <v>0</v>
      </c>
      <c r="O32" s="60"/>
    </row>
    <row r="33" spans="1:15" ht="12" customHeight="1">
      <c r="A33" s="60"/>
      <c r="B33" s="4">
        <v>40</v>
      </c>
      <c r="C33" s="5" t="s">
        <v>103</v>
      </c>
      <c r="D33" s="53" t="s">
        <v>102</v>
      </c>
      <c r="E33" s="3">
        <f t="shared" si="0"/>
        <v>5.999999999999999</v>
      </c>
      <c r="F33" s="6"/>
      <c r="G33" s="3"/>
      <c r="H33" s="3">
        <f aca="true" t="shared" si="2" ref="H33:H52">IF(ABS($I77-$I76)&gt;180,ABS(360-ABS($I77-$I76))/($B99-$B98),ABS($I77-$I76)/($B99-$B98))*10</f>
        <v>6.507674230145355E-15</v>
      </c>
      <c r="I33" s="3">
        <f t="shared" si="1"/>
        <v>-1.9286549331065747E-15</v>
      </c>
      <c r="J33" s="55"/>
      <c r="K33" s="55"/>
      <c r="L33" s="55"/>
      <c r="M33" s="55"/>
      <c r="N33" s="56">
        <v>0</v>
      </c>
      <c r="O33" s="60"/>
    </row>
    <row r="34" spans="1:15" ht="12" customHeight="1">
      <c r="A34" s="60"/>
      <c r="B34" s="4">
        <v>50</v>
      </c>
      <c r="C34" s="5" t="s">
        <v>103</v>
      </c>
      <c r="D34" s="53" t="s">
        <v>102</v>
      </c>
      <c r="E34" s="3">
        <f t="shared" si="0"/>
        <v>6</v>
      </c>
      <c r="F34" s="6"/>
      <c r="G34" s="3"/>
      <c r="H34" s="3">
        <f t="shared" si="2"/>
        <v>1.0693993914334852E-14</v>
      </c>
      <c r="I34" s="3">
        <f t="shared" si="1"/>
        <v>-9.643274665532871E-16</v>
      </c>
      <c r="J34" s="55"/>
      <c r="K34" s="55"/>
      <c r="L34" s="55"/>
      <c r="M34" s="55"/>
      <c r="N34" s="56">
        <v>0</v>
      </c>
      <c r="O34" s="60"/>
    </row>
    <row r="35" spans="1:15" ht="12" customHeight="1">
      <c r="A35" s="60"/>
      <c r="B35" s="4">
        <v>70</v>
      </c>
      <c r="C35" s="5" t="s">
        <v>103</v>
      </c>
      <c r="D35" s="53" t="s">
        <v>102</v>
      </c>
      <c r="E35" s="3">
        <f t="shared" si="0"/>
        <v>6</v>
      </c>
      <c r="F35" s="6"/>
      <c r="G35" s="3"/>
      <c r="H35" s="3">
        <f t="shared" si="2"/>
        <v>2.7764821369404268E-15</v>
      </c>
      <c r="I35" s="3">
        <f t="shared" si="1"/>
        <v>1.928654933106574E-15</v>
      </c>
      <c r="J35" s="55"/>
      <c r="K35" s="55"/>
      <c r="L35" s="55"/>
      <c r="M35" s="55"/>
      <c r="N35" s="56">
        <v>0</v>
      </c>
      <c r="O35" s="60"/>
    </row>
    <row r="36" spans="1:15" ht="12" customHeight="1">
      <c r="A36" s="60"/>
      <c r="B36" s="4">
        <v>100</v>
      </c>
      <c r="C36" s="5" t="s">
        <v>103</v>
      </c>
      <c r="D36" s="53" t="s">
        <v>102</v>
      </c>
      <c r="E36" s="3">
        <f t="shared" si="0"/>
        <v>6</v>
      </c>
      <c r="F36" s="6"/>
      <c r="G36" s="3"/>
      <c r="H36" s="3">
        <f t="shared" si="2"/>
        <v>2.0447902004851643E-16</v>
      </c>
      <c r="I36" s="3">
        <f t="shared" si="1"/>
        <v>-4.821637332766436E-16</v>
      </c>
      <c r="J36" s="55"/>
      <c r="K36" s="55"/>
      <c r="L36" s="55"/>
      <c r="M36" s="55"/>
      <c r="N36" s="56">
        <v>0</v>
      </c>
      <c r="O36" s="60"/>
    </row>
    <row r="37" spans="1:15" ht="12" customHeight="1">
      <c r="A37" s="60"/>
      <c r="B37" s="4">
        <v>150</v>
      </c>
      <c r="C37" s="5" t="s">
        <v>103</v>
      </c>
      <c r="D37" s="53" t="s">
        <v>102</v>
      </c>
      <c r="E37" s="3">
        <f t="shared" si="0"/>
        <v>5.999999999999999</v>
      </c>
      <c r="F37" s="6"/>
      <c r="G37" s="3"/>
      <c r="H37" s="3">
        <f t="shared" si="2"/>
        <v>4.537881239861529E-16</v>
      </c>
      <c r="I37" s="3">
        <f t="shared" si="1"/>
        <v>0</v>
      </c>
      <c r="J37" s="55"/>
      <c r="K37" s="55"/>
      <c r="L37" s="55"/>
      <c r="M37" s="55"/>
      <c r="N37" s="56">
        <v>0</v>
      </c>
      <c r="O37" s="60"/>
    </row>
    <row r="38" spans="1:15" ht="12" customHeight="1">
      <c r="A38" s="68" t="s">
        <v>129</v>
      </c>
      <c r="B38" s="4">
        <v>200</v>
      </c>
      <c r="C38" s="5" t="s">
        <v>103</v>
      </c>
      <c r="D38" s="53" t="s">
        <v>102</v>
      </c>
      <c r="E38" s="3">
        <f t="shared" si="0"/>
        <v>5.999999999999999</v>
      </c>
      <c r="F38" s="6"/>
      <c r="G38" s="3"/>
      <c r="H38" s="3">
        <f t="shared" si="2"/>
        <v>3.118434472841177E-16</v>
      </c>
      <c r="I38" s="3">
        <f t="shared" si="1"/>
        <v>-1.9286549331065747E-15</v>
      </c>
      <c r="J38" s="55"/>
      <c r="K38" s="55"/>
      <c r="L38" s="55"/>
      <c r="M38" s="55"/>
      <c r="N38" s="56">
        <v>0</v>
      </c>
      <c r="O38" s="60"/>
    </row>
    <row r="39" spans="1:15" ht="12" customHeight="1">
      <c r="A39" s="60"/>
      <c r="B39" s="4">
        <v>300</v>
      </c>
      <c r="C39" s="5" t="s">
        <v>103</v>
      </c>
      <c r="D39" s="53" t="s">
        <v>102</v>
      </c>
      <c r="E39" s="3">
        <f t="shared" si="0"/>
        <v>6.000000000000001</v>
      </c>
      <c r="F39" s="6"/>
      <c r="G39" s="3"/>
      <c r="H39" s="3">
        <f t="shared" si="2"/>
        <v>1.0175290172338361E-15</v>
      </c>
      <c r="I39" s="3">
        <f t="shared" si="1"/>
        <v>-1.446491199829931E-15</v>
      </c>
      <c r="J39" s="55"/>
      <c r="K39" s="55"/>
      <c r="L39" s="55"/>
      <c r="M39" s="55"/>
      <c r="N39" s="56">
        <v>0</v>
      </c>
      <c r="O39" s="60"/>
    </row>
    <row r="40" spans="1:15" ht="12" customHeight="1">
      <c r="A40" s="60"/>
      <c r="B40" s="4">
        <v>400</v>
      </c>
      <c r="C40" s="5" t="s">
        <v>103</v>
      </c>
      <c r="D40" s="53" t="s">
        <v>102</v>
      </c>
      <c r="E40" s="3">
        <f t="shared" si="0"/>
        <v>5.999999999999999</v>
      </c>
      <c r="F40" s="6"/>
      <c r="G40" s="3"/>
      <c r="H40" s="3">
        <f t="shared" si="2"/>
        <v>8.249563705045999E-16</v>
      </c>
      <c r="I40" s="3">
        <f t="shared" si="1"/>
        <v>-9.643274665532871E-16</v>
      </c>
      <c r="J40" s="55"/>
      <c r="K40" s="55"/>
      <c r="L40" s="55"/>
      <c r="M40" s="55"/>
      <c r="N40" s="56">
        <v>0</v>
      </c>
      <c r="O40" s="60"/>
    </row>
    <row r="41" spans="1:15" ht="12" customHeight="1">
      <c r="A41" s="60"/>
      <c r="B41" s="4">
        <v>500</v>
      </c>
      <c r="C41" s="5" t="s">
        <v>103</v>
      </c>
      <c r="D41" s="53" t="s">
        <v>102</v>
      </c>
      <c r="E41" s="3">
        <f t="shared" si="0"/>
        <v>6.000000000000001</v>
      </c>
      <c r="F41" s="6"/>
      <c r="G41" s="3"/>
      <c r="H41" s="3">
        <f t="shared" si="2"/>
        <v>2.0872390097104326E-16</v>
      </c>
      <c r="I41" s="3">
        <f t="shared" si="1"/>
        <v>-1.446491199829931E-15</v>
      </c>
      <c r="J41" s="55"/>
      <c r="K41" s="55"/>
      <c r="L41" s="55"/>
      <c r="M41" s="55"/>
      <c r="N41" s="56">
        <v>0</v>
      </c>
      <c r="O41" s="60"/>
    </row>
    <row r="42" spans="1:15" ht="12" customHeight="1">
      <c r="A42" s="60"/>
      <c r="B42" s="4">
        <v>700</v>
      </c>
      <c r="C42" s="5" t="s">
        <v>103</v>
      </c>
      <c r="D42" s="53" t="s">
        <v>102</v>
      </c>
      <c r="E42" s="3">
        <f t="shared" si="0"/>
        <v>6.000000000000001</v>
      </c>
      <c r="F42" s="6"/>
      <c r="G42" s="3"/>
      <c r="H42" s="3">
        <f t="shared" si="2"/>
        <v>3.379339349054987E-16</v>
      </c>
      <c r="I42" s="3">
        <f t="shared" si="1"/>
        <v>-1.446491199829931E-15</v>
      </c>
      <c r="J42" s="55"/>
      <c r="K42" s="55"/>
      <c r="L42" s="55"/>
      <c r="M42" s="55"/>
      <c r="N42" s="56">
        <v>0</v>
      </c>
      <c r="O42" s="60"/>
    </row>
    <row r="43" spans="1:15" ht="12" customHeight="1">
      <c r="A43" s="60"/>
      <c r="B43" s="4" t="s">
        <v>15</v>
      </c>
      <c r="C43" s="5" t="s">
        <v>103</v>
      </c>
      <c r="D43" s="53" t="s">
        <v>102</v>
      </c>
      <c r="E43" s="3">
        <f t="shared" si="0"/>
        <v>6.000000000000001</v>
      </c>
      <c r="F43" s="6"/>
      <c r="G43" s="3"/>
      <c r="H43" s="3">
        <f t="shared" si="2"/>
        <v>1.9878466759146982E-16</v>
      </c>
      <c r="I43" s="3">
        <f t="shared" si="1"/>
        <v>-4.821637332766436E-16</v>
      </c>
      <c r="J43" s="55"/>
      <c r="K43" s="55"/>
      <c r="L43" s="55"/>
      <c r="M43" s="55"/>
      <c r="N43" s="56">
        <v>0</v>
      </c>
      <c r="O43" s="60"/>
    </row>
    <row r="44" spans="1:15" ht="12" customHeight="1">
      <c r="A44" s="60"/>
      <c r="B44" s="4" t="s">
        <v>16</v>
      </c>
      <c r="C44" s="5" t="s">
        <v>103</v>
      </c>
      <c r="D44" s="53" t="s">
        <v>102</v>
      </c>
      <c r="E44" s="3">
        <f t="shared" si="0"/>
        <v>6</v>
      </c>
      <c r="F44" s="6"/>
      <c r="G44" s="3"/>
      <c r="H44" s="3">
        <f t="shared" si="2"/>
        <v>3.1554436208840473E-32</v>
      </c>
      <c r="I44" s="3">
        <f t="shared" si="1"/>
        <v>-9.643274665532871E-16</v>
      </c>
      <c r="J44" s="55"/>
      <c r="K44" s="55"/>
      <c r="L44" s="55"/>
      <c r="M44" s="55"/>
      <c r="N44" s="56">
        <v>0</v>
      </c>
      <c r="O44" s="60"/>
    </row>
    <row r="45" spans="1:15" ht="12" customHeight="1">
      <c r="A45" s="60"/>
      <c r="B45" s="4" t="s">
        <v>17</v>
      </c>
      <c r="C45" s="5" t="s">
        <v>103</v>
      </c>
      <c r="D45" s="53" t="s">
        <v>102</v>
      </c>
      <c r="E45" s="3">
        <f t="shared" si="0"/>
        <v>5.999999999999999</v>
      </c>
      <c r="F45" s="6"/>
      <c r="G45" s="3"/>
      <c r="H45" s="3">
        <f t="shared" si="2"/>
        <v>3.180554681463517E-16</v>
      </c>
      <c r="I45" s="3">
        <f t="shared" si="1"/>
        <v>0</v>
      </c>
      <c r="J45" s="55"/>
      <c r="K45" s="55"/>
      <c r="L45" s="55"/>
      <c r="M45" s="55"/>
      <c r="N45" s="56">
        <v>0</v>
      </c>
      <c r="O45" s="60"/>
    </row>
    <row r="46" spans="1:15" ht="12" customHeight="1">
      <c r="A46" s="68" t="s">
        <v>92</v>
      </c>
      <c r="B46" s="4" t="s">
        <v>18</v>
      </c>
      <c r="C46" s="5" t="s">
        <v>103</v>
      </c>
      <c r="D46" s="53" t="s">
        <v>102</v>
      </c>
      <c r="E46" s="3">
        <f t="shared" si="0"/>
        <v>5.999999999999999</v>
      </c>
      <c r="F46" s="6"/>
      <c r="G46" s="3"/>
      <c r="H46" s="3">
        <f t="shared" si="2"/>
        <v>3.1805546814635186E-17</v>
      </c>
      <c r="I46" s="3">
        <f t="shared" si="1"/>
        <v>-9.643274665532871E-16</v>
      </c>
      <c r="J46" s="55"/>
      <c r="K46" s="55"/>
      <c r="L46" s="55"/>
      <c r="M46" s="55"/>
      <c r="N46" s="56">
        <v>0</v>
      </c>
      <c r="O46" s="60"/>
    </row>
    <row r="47" spans="1:15" ht="12" customHeight="1">
      <c r="A47" s="60"/>
      <c r="B47" s="4" t="s">
        <v>19</v>
      </c>
      <c r="C47" s="5" t="s">
        <v>103</v>
      </c>
      <c r="D47" s="53" t="s">
        <v>102</v>
      </c>
      <c r="E47" s="3">
        <f t="shared" si="0"/>
        <v>5.999999999999999</v>
      </c>
      <c r="F47" s="6"/>
      <c r="G47" s="3"/>
      <c r="H47" s="3">
        <f t="shared" si="2"/>
        <v>6.361109362927039E-17</v>
      </c>
      <c r="I47" s="3">
        <f t="shared" si="1"/>
        <v>0</v>
      </c>
      <c r="J47" s="55"/>
      <c r="K47" s="55"/>
      <c r="L47" s="55"/>
      <c r="M47" s="55"/>
      <c r="N47" s="56">
        <v>0</v>
      </c>
      <c r="O47" s="60"/>
    </row>
    <row r="48" spans="1:15" ht="12" customHeight="1">
      <c r="A48" s="60"/>
      <c r="B48" s="4" t="s">
        <v>20</v>
      </c>
      <c r="C48" s="5" t="s">
        <v>103</v>
      </c>
      <c r="D48" s="53" t="s">
        <v>102</v>
      </c>
      <c r="E48" s="3">
        <f t="shared" si="0"/>
        <v>5.999999999999999</v>
      </c>
      <c r="F48" s="6"/>
      <c r="G48" s="3"/>
      <c r="H48" s="3">
        <f t="shared" si="2"/>
        <v>1.5777218104420236E-32</v>
      </c>
      <c r="I48" s="3">
        <f t="shared" si="1"/>
        <v>-9.643274665532871E-16</v>
      </c>
      <c r="J48" s="55"/>
      <c r="K48" s="55"/>
      <c r="L48" s="55"/>
      <c r="M48" s="55"/>
      <c r="N48" s="56">
        <v>0</v>
      </c>
      <c r="O48" s="60"/>
    </row>
    <row r="49" spans="1:15" ht="12" customHeight="1">
      <c r="A49" s="60"/>
      <c r="B49" s="4" t="s">
        <v>21</v>
      </c>
      <c r="C49" s="5" t="s">
        <v>103</v>
      </c>
      <c r="D49" s="53" t="s">
        <v>102</v>
      </c>
      <c r="E49" s="3">
        <f t="shared" si="0"/>
        <v>5.999999999999999</v>
      </c>
      <c r="F49" s="6"/>
      <c r="G49" s="3"/>
      <c r="H49" s="3">
        <f t="shared" si="2"/>
        <v>3.180554681463517E-17</v>
      </c>
      <c r="I49" s="3">
        <f t="shared" si="1"/>
        <v>0</v>
      </c>
      <c r="J49" s="55"/>
      <c r="K49" s="55"/>
      <c r="L49" s="55"/>
      <c r="M49" s="55"/>
      <c r="N49" s="56">
        <v>0</v>
      </c>
      <c r="O49" s="60"/>
    </row>
    <row r="50" spans="1:15" ht="12" customHeight="1">
      <c r="A50" s="60"/>
      <c r="B50" s="4" t="s">
        <v>22</v>
      </c>
      <c r="C50" s="5" t="s">
        <v>103</v>
      </c>
      <c r="D50" s="53" t="s">
        <v>102</v>
      </c>
      <c r="E50" s="3">
        <f t="shared" si="0"/>
        <v>6</v>
      </c>
      <c r="F50" s="6"/>
      <c r="G50" s="3"/>
      <c r="H50" s="3">
        <f t="shared" si="2"/>
        <v>1.0601848938211722E-17</v>
      </c>
      <c r="I50" s="3">
        <f t="shared" si="1"/>
        <v>0</v>
      </c>
      <c r="J50" s="55"/>
      <c r="K50" s="55"/>
      <c r="L50" s="55"/>
      <c r="M50" s="55"/>
      <c r="N50" s="56">
        <v>0</v>
      </c>
      <c r="O50" s="60"/>
    </row>
    <row r="51" spans="1:15" ht="12" customHeight="1">
      <c r="A51" s="60"/>
      <c r="B51" s="4" t="s">
        <v>23</v>
      </c>
      <c r="C51" s="5" t="s">
        <v>103</v>
      </c>
      <c r="D51" s="53" t="s">
        <v>102</v>
      </c>
      <c r="E51" s="3">
        <f t="shared" si="0"/>
        <v>6</v>
      </c>
      <c r="F51" s="6"/>
      <c r="G51" s="3"/>
      <c r="H51" s="3">
        <f t="shared" si="2"/>
        <v>1.90833280887811E-17</v>
      </c>
      <c r="I51" s="3">
        <f t="shared" si="1"/>
        <v>0</v>
      </c>
      <c r="J51" s="55"/>
      <c r="K51" s="55"/>
      <c r="L51" s="55"/>
      <c r="M51" s="55"/>
      <c r="N51" s="56">
        <v>0</v>
      </c>
      <c r="O51" s="60"/>
    </row>
    <row r="52" spans="1:15" ht="12" customHeight="1">
      <c r="A52" s="61"/>
      <c r="B52" s="4" t="s">
        <v>24</v>
      </c>
      <c r="C52" s="5" t="s">
        <v>103</v>
      </c>
      <c r="D52" s="53" t="s">
        <v>102</v>
      </c>
      <c r="E52" s="3">
        <f t="shared" si="0"/>
        <v>6.000000000000001</v>
      </c>
      <c r="F52" s="6"/>
      <c r="G52" s="3"/>
      <c r="H52" s="3">
        <f t="shared" si="2"/>
        <v>1.2722218725854067E-17</v>
      </c>
      <c r="I52" s="3">
        <f t="shared" si="1"/>
        <v>-4.821637332766436E-16</v>
      </c>
      <c r="J52" s="55"/>
      <c r="K52" s="55"/>
      <c r="L52" s="55"/>
      <c r="M52" s="55"/>
      <c r="N52" s="56">
        <v>0</v>
      </c>
      <c r="O52" s="61"/>
    </row>
    <row r="53" spans="1:15" ht="12" customHeight="1">
      <c r="A53" s="67" t="s">
        <v>93</v>
      </c>
      <c r="B53" s="4">
        <v>20</v>
      </c>
      <c r="C53" s="5" t="s">
        <v>103</v>
      </c>
      <c r="D53" s="2" t="s">
        <v>101</v>
      </c>
      <c r="E53" s="3">
        <f>IF($H$17=0,0,E185)+E$22-$I$22+E$30+20*LOG(1/((1-F163*E97)^2+F141^2*E97^2)^0.5*E$28/(E$28^2+F97^2)^0.5)+$J53</f>
        <v>-0.04495049283744722</v>
      </c>
      <c r="F53" s="3">
        <f>IF($H$17=0,0,F185)+F$22-$I$22+F$30+20*LOG(1/((1-F163*E97)^2+F141^2*E97^2)^0.5*F$28/(F$28^2+F119^2)^0.5)+$K53</f>
        <v>-20.04495782949766</v>
      </c>
      <c r="G53" s="3">
        <f>IF($H$17=0,0,G185)+G$22-$I$22+G$30+20*LOG(1/((1+G163*E119)^2+G141^2*E119^2)^0.5*G$28/(G$28^2+G97^2)^0.5)+$L53</f>
        <v>-33.98121373747558</v>
      </c>
      <c r="H53" s="3">
        <f>IF($H$17=0,0,H185)+H$22-$I$22+H$30+20*LOG(1/((1+G163*E119)^2+G141^2*E119^2)^0.5*H$28/(H$28^2+G119^2)^0.5)+$M53</f>
        <v>-81.94002124757654</v>
      </c>
      <c r="I53" s="3">
        <f>20*LOG(((10^(E53/20)*COS(3.14159*E75/180)+10^(F53/20)*COS(3.14159*F75/180)+10^(G53/20)*COS(3.14159*G75/180)+10^(H53/20)*COS(3.14159*H75/180))^2+(10^(E53/20)*SIN(3.14159*E75/180)+10^(F53/20)*SIN(3.14159*F75/180)+10^(G53/20)*SIN(3.14159*G75/180)+10^(H53/20)*SIN(3.14159*H75/180))^2)^0.5)+$N53</f>
        <v>1.382740372996279E-06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9" t="s">
        <v>179</v>
      </c>
    </row>
    <row r="54" spans="1:15" ht="12" customHeight="1">
      <c r="A54" s="68"/>
      <c r="B54" s="4">
        <v>30</v>
      </c>
      <c r="C54" s="5" t="s">
        <v>103</v>
      </c>
      <c r="D54" s="2" t="s">
        <v>101</v>
      </c>
      <c r="E54" s="3">
        <f aca="true" t="shared" si="3" ref="E54:E74">IF($H$17=0,0,E186)+E$22-$I$22+E$30+20*LOG(1/((1-F164*E98)^2+F142^2*E98^2)^0.5*E$28/(E$28^2+F98^2)^0.5)+$J54</f>
        <v>-0.10053989125357493</v>
      </c>
      <c r="F54" s="3">
        <f aca="true" t="shared" si="4" ref="F54:F74">IF($H$17=0,0,F186)+F$22-$I$22+F$30+20*LOG(1/((1-F164*E98)^2+F142^2*E98^2)^0.5*F$28/(F$28^2+F120^2)^0.5)+$K54</f>
        <v>-16.578722046800163</v>
      </c>
      <c r="G54" s="3">
        <f aca="true" t="shared" si="5" ref="G54:G74">IF($H$17=0,0,G186)+G$22-$I$22+G$30+20*LOG(1/((1+G164*E120)^2+G142^2*E120^2)^0.5*G$28/(G$28^2+G98^2)^0.5)+$L54</f>
        <v>-30.461645471104227</v>
      </c>
      <c r="H54" s="3">
        <f aca="true" t="shared" si="6" ref="H54:H74">IF($H$17=0,0,H186)+H$22-$I$22+H$30+20*LOG(1/((1+G164*E120)^2+G142^2*E120^2)^0.5*H$28/(H$28^2+G120^2)^0.5)+$M54</f>
        <v>-74.89862780009156</v>
      </c>
      <c r="I54" s="3">
        <f aca="true" t="shared" si="7" ref="I54:I74">20*LOG(((10^(E54/20)*COS(3.14159*E76/180)+10^(F54/20)*COS(3.14159*F76/180)+10^(G54/20)*COS(3.14159*G76/180)+10^(H54/20)*COS(3.14159*H76/180))^2+(10^(E54/20)*SIN(3.14159*E76/180)+10^(F54/20)*SIN(3.14159*F76/180)+10^(G54/20)*SIN(3.14159*G76/180)+10^(H54/20)*SIN(3.14159*H76/180))^2)^0.5)+$N54</f>
        <v>2.0584142092983325E-06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60"/>
    </row>
    <row r="55" spans="1:15" ht="12" customHeight="1">
      <c r="A55" s="68"/>
      <c r="B55" s="4">
        <v>40</v>
      </c>
      <c r="C55" s="5" t="s">
        <v>103</v>
      </c>
      <c r="D55" s="2" t="s">
        <v>101</v>
      </c>
      <c r="E55" s="3">
        <f t="shared" si="3"/>
        <v>-0.17727625775244454</v>
      </c>
      <c r="F55" s="3">
        <f t="shared" si="4"/>
        <v>-14.156683681133032</v>
      </c>
      <c r="G55" s="3">
        <f t="shared" si="5"/>
        <v>-27.966028596149542</v>
      </c>
      <c r="H55" s="3">
        <f t="shared" si="6"/>
        <v>-69.90423619297088</v>
      </c>
      <c r="I55" s="3">
        <f t="shared" si="7"/>
        <v>2.710893457989632E-06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60"/>
    </row>
    <row r="56" spans="1:15" ht="12" customHeight="1">
      <c r="A56" s="68"/>
      <c r="B56" s="4">
        <v>50</v>
      </c>
      <c r="C56" s="5" t="s">
        <v>103</v>
      </c>
      <c r="D56" s="2" t="s">
        <v>101</v>
      </c>
      <c r="E56" s="3">
        <f t="shared" si="3"/>
        <v>-0.2741327502818913</v>
      </c>
      <c r="F56" s="3">
        <f t="shared" si="4"/>
        <v>-12.31533991350135</v>
      </c>
      <c r="G56" s="3">
        <f t="shared" si="5"/>
        <v>-26.031885316601176</v>
      </c>
      <c r="H56" s="3">
        <f t="shared" si="6"/>
        <v>-66.03189265326138</v>
      </c>
      <c r="I56" s="3">
        <f t="shared" si="7"/>
        <v>3.3321561687677874E-06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60"/>
    </row>
    <row r="57" spans="1:15" ht="12" customHeight="1">
      <c r="A57" s="68"/>
      <c r="B57" s="4">
        <v>70</v>
      </c>
      <c r="C57" s="5" t="s">
        <v>103</v>
      </c>
      <c r="D57" s="2" t="s">
        <v>101</v>
      </c>
      <c r="E57" s="3">
        <f t="shared" si="3"/>
        <v>-0.5230911225714917</v>
      </c>
      <c r="F57" s="3">
        <f t="shared" si="4"/>
        <v>-9.641737572226193</v>
      </c>
      <c r="G57" s="3">
        <f t="shared" si="5"/>
        <v>-23.120126095190827</v>
      </c>
      <c r="H57" s="3">
        <f t="shared" si="6"/>
        <v>-60.197572718286274</v>
      </c>
      <c r="I57" s="3">
        <f t="shared" si="7"/>
        <v>4.4568428542456794E-06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60"/>
    </row>
    <row r="58" spans="1:15" ht="12" customHeight="1">
      <c r="A58" s="68"/>
      <c r="B58" s="4">
        <v>100</v>
      </c>
      <c r="C58" s="5" t="s">
        <v>103</v>
      </c>
      <c r="D58" s="2" t="s">
        <v>101</v>
      </c>
      <c r="E58" s="3">
        <f t="shared" si="3"/>
        <v>-1.0123123279357993</v>
      </c>
      <c r="F58" s="3">
        <f t="shared" si="4"/>
        <v>-7.032919577875636</v>
      </c>
      <c r="G58" s="3">
        <f t="shared" si="5"/>
        <v>-20.04495782949766</v>
      </c>
      <c r="H58" s="3">
        <f t="shared" si="6"/>
        <v>-54.02436525287825</v>
      </c>
      <c r="I58" s="3">
        <f t="shared" si="7"/>
        <v>5.8019388843319856E-06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60"/>
    </row>
    <row r="59" spans="1:15" ht="12" customHeight="1">
      <c r="A59" s="68"/>
      <c r="B59" s="4">
        <v>150</v>
      </c>
      <c r="C59" s="5" t="s">
        <v>103</v>
      </c>
      <c r="D59" s="2" t="s">
        <v>101</v>
      </c>
      <c r="E59" s="3">
        <f t="shared" si="3"/>
        <v>-2.034830624316406</v>
      </c>
      <c r="F59" s="3">
        <f t="shared" si="4"/>
        <v>-4.533612693142616</v>
      </c>
      <c r="G59" s="3">
        <f t="shared" si="5"/>
        <v>-16.578722046800163</v>
      </c>
      <c r="H59" s="3">
        <f t="shared" si="6"/>
        <v>-47.036304289067125</v>
      </c>
      <c r="I59" s="3">
        <f t="shared" si="7"/>
        <v>7.161405441630122E-06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60"/>
    </row>
    <row r="60" spans="1:15" ht="12" customHeight="1">
      <c r="A60" s="68"/>
      <c r="B60" s="4">
        <v>200</v>
      </c>
      <c r="C60" s="5" t="s">
        <v>103</v>
      </c>
      <c r="D60" s="2" t="s">
        <v>101</v>
      </c>
      <c r="E60" s="3">
        <f t="shared" si="3"/>
        <v>-3.1806293991200487</v>
      </c>
      <c r="F60" s="3">
        <f t="shared" si="4"/>
        <v>-3.1806367357802627</v>
      </c>
      <c r="G60" s="3">
        <f t="shared" si="5"/>
        <v>-14.156683681133034</v>
      </c>
      <c r="H60" s="3">
        <f t="shared" si="6"/>
        <v>-42.115491191234</v>
      </c>
      <c r="I60" s="3">
        <f t="shared" si="7"/>
        <v>7.721633502892962E-06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60"/>
    </row>
    <row r="61" spans="1:15" ht="12" customHeight="1">
      <c r="A61" s="68"/>
      <c r="B61" s="4">
        <v>300</v>
      </c>
      <c r="C61" s="5" t="s">
        <v>103</v>
      </c>
      <c r="D61" s="2" t="s">
        <v>101</v>
      </c>
      <c r="E61" s="3">
        <f t="shared" si="3"/>
        <v>-5.493092904191186</v>
      </c>
      <c r="F61" s="3">
        <f t="shared" si="4"/>
        <v>-1.9712750597377737</v>
      </c>
      <c r="G61" s="3">
        <f t="shared" si="5"/>
        <v>-10.847453116002903</v>
      </c>
      <c r="H61" s="3">
        <f t="shared" si="6"/>
        <v>-35.28443544499024</v>
      </c>
      <c r="I61" s="3">
        <f t="shared" si="7"/>
        <v>7.787496944482872E-06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60"/>
    </row>
    <row r="62" spans="1:15" ht="12" customHeight="1">
      <c r="A62" s="68"/>
      <c r="B62" s="4">
        <v>400</v>
      </c>
      <c r="C62" s="5" t="s">
        <v>103</v>
      </c>
      <c r="D62" s="2" t="s">
        <v>101</v>
      </c>
      <c r="E62" s="3">
        <f t="shared" si="3"/>
        <v>-7.634273054349798</v>
      </c>
      <c r="F62" s="3">
        <f t="shared" si="4"/>
        <v>-1.613680477730388</v>
      </c>
      <c r="G62" s="3">
        <f t="shared" si="5"/>
        <v>-8.631092624773702</v>
      </c>
      <c r="H62" s="3">
        <f t="shared" si="6"/>
        <v>-30.569300221595043</v>
      </c>
      <c r="I62" s="3">
        <f t="shared" si="7"/>
        <v>7.519335562021517E-06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60"/>
    </row>
    <row r="63" spans="1:15" ht="12" customHeight="1">
      <c r="A63" s="68"/>
      <c r="B63" s="4">
        <v>500</v>
      </c>
      <c r="C63" s="5" t="s">
        <v>103</v>
      </c>
      <c r="D63" s="2" t="s">
        <v>101</v>
      </c>
      <c r="E63" s="3">
        <f t="shared" si="3"/>
        <v>-9.572472403753105</v>
      </c>
      <c r="F63" s="3">
        <f t="shared" si="4"/>
        <v>-1.6136795669725679</v>
      </c>
      <c r="G63" s="3">
        <f t="shared" si="5"/>
        <v>-7.032919577875639</v>
      </c>
      <c r="H63" s="3">
        <f t="shared" si="6"/>
        <v>-27.03292691453585</v>
      </c>
      <c r="I63" s="3">
        <f t="shared" si="7"/>
        <v>7.289422629873914E-06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60"/>
    </row>
    <row r="64" spans="1:15" ht="12" customHeight="1">
      <c r="A64" s="68"/>
      <c r="B64" s="4">
        <v>700</v>
      </c>
      <c r="C64" s="5" t="s">
        <v>103</v>
      </c>
      <c r="D64" s="2" t="s">
        <v>101</v>
      </c>
      <c r="E64" s="3">
        <f t="shared" si="3"/>
        <v>-12.95401227117562</v>
      </c>
      <c r="F64" s="3">
        <f t="shared" si="4"/>
        <v>-2.0726587208303178</v>
      </c>
      <c r="G64" s="3">
        <f t="shared" si="5"/>
        <v>-4.914204934710148</v>
      </c>
      <c r="H64" s="3">
        <f t="shared" si="6"/>
        <v>-21.991651557805596</v>
      </c>
      <c r="I64" s="3">
        <f t="shared" si="7"/>
        <v>7.051636380861158E-06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60"/>
    </row>
    <row r="65" spans="1:15" ht="12" customHeight="1">
      <c r="A65" s="68"/>
      <c r="B65" s="4" t="s">
        <v>15</v>
      </c>
      <c r="C65" s="5" t="s">
        <v>103</v>
      </c>
      <c r="D65" s="2" t="s">
        <v>101</v>
      </c>
      <c r="E65" s="3">
        <f t="shared" si="3"/>
        <v>-17.16002271353869</v>
      </c>
      <c r="F65" s="3">
        <f t="shared" si="4"/>
        <v>-3.1806299634785256</v>
      </c>
      <c r="G65" s="3">
        <f t="shared" si="5"/>
        <v>-3.180636735780264</v>
      </c>
      <c r="H65" s="3">
        <f t="shared" si="6"/>
        <v>-17.16004415916085</v>
      </c>
      <c r="I65" s="3">
        <f t="shared" si="7"/>
        <v>6.973447218503085E-06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60"/>
    </row>
    <row r="66" spans="1:15" ht="12" customHeight="1">
      <c r="A66" s="68"/>
      <c r="B66" s="4" t="s">
        <v>16</v>
      </c>
      <c r="C66" s="5" t="s">
        <v>103</v>
      </c>
      <c r="D66" s="2" t="s">
        <v>101</v>
      </c>
      <c r="E66" s="3">
        <f t="shared" si="3"/>
        <v>-22.696576232174188</v>
      </c>
      <c r="F66" s="3">
        <f t="shared" si="4"/>
        <v>-5.195358301000396</v>
      </c>
      <c r="G66" s="3">
        <f t="shared" si="5"/>
        <v>-1.9712750597377737</v>
      </c>
      <c r="H66" s="3">
        <f t="shared" si="6"/>
        <v>-12.428857302004737</v>
      </c>
      <c r="I66" s="3">
        <f t="shared" si="7"/>
        <v>7.07571431049191E-06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60"/>
    </row>
    <row r="67" spans="1:15" ht="12" customHeight="1">
      <c r="A67" s="68"/>
      <c r="B67" s="4" t="s">
        <v>17</v>
      </c>
      <c r="C67" s="5" t="s">
        <v>103</v>
      </c>
      <c r="D67" s="2" t="s">
        <v>101</v>
      </c>
      <c r="E67" s="3">
        <f t="shared" si="3"/>
        <v>-27.032900647839483</v>
      </c>
      <c r="F67" s="3">
        <f t="shared" si="4"/>
        <v>-7.032907984499697</v>
      </c>
      <c r="G67" s="3">
        <f t="shared" si="5"/>
        <v>-1.6136804777303868</v>
      </c>
      <c r="H67" s="3">
        <f t="shared" si="6"/>
        <v>-9.57248798783135</v>
      </c>
      <c r="I67" s="3">
        <f t="shared" si="7"/>
        <v>7.289421042592236E-06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60"/>
    </row>
    <row r="68" spans="1:15" ht="12" customHeight="1">
      <c r="A68" s="68"/>
      <c r="B68" s="4" t="s">
        <v>18</v>
      </c>
      <c r="C68" s="5" t="s">
        <v>103</v>
      </c>
      <c r="D68" s="2" t="s">
        <v>101</v>
      </c>
      <c r="E68" s="3">
        <f t="shared" si="3"/>
        <v>-33.541070484283296</v>
      </c>
      <c r="F68" s="3">
        <f t="shared" si="4"/>
        <v>-10.01925263982988</v>
      </c>
      <c r="G68" s="3">
        <f t="shared" si="5"/>
        <v>-1.7929627809195967</v>
      </c>
      <c r="H68" s="3">
        <f t="shared" si="6"/>
        <v>-6.229945109906935</v>
      </c>
      <c r="I68" s="3">
        <f t="shared" si="7"/>
        <v>7.704157206529373E-06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60"/>
    </row>
    <row r="69" spans="1:15" ht="12" customHeight="1">
      <c r="A69" s="68"/>
      <c r="B69" s="4" t="s">
        <v>19</v>
      </c>
      <c r="C69" s="5" t="s">
        <v>103</v>
      </c>
      <c r="D69" s="2" t="s">
        <v>101</v>
      </c>
      <c r="E69" s="3">
        <f t="shared" si="3"/>
        <v>-38.33591871652865</v>
      </c>
      <c r="F69" s="3">
        <f t="shared" si="4"/>
        <v>-12.315326139909244</v>
      </c>
      <c r="G69" s="3">
        <f t="shared" si="5"/>
        <v>-2.411725436183623</v>
      </c>
      <c r="H69" s="3">
        <f t="shared" si="6"/>
        <v>-4.349933033004964</v>
      </c>
      <c r="I69" s="3">
        <f t="shared" si="7"/>
        <v>7.850325678709239E-06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60"/>
    </row>
    <row r="70" spans="1:15" ht="12" customHeight="1">
      <c r="A70" s="68"/>
      <c r="B70" s="4" t="s">
        <v>20</v>
      </c>
      <c r="C70" s="5" t="s">
        <v>103</v>
      </c>
      <c r="D70" s="2" t="s">
        <v>101</v>
      </c>
      <c r="E70" s="3">
        <f t="shared" si="3"/>
        <v>-42.11546243239144</v>
      </c>
      <c r="F70" s="3">
        <f t="shared" si="4"/>
        <v>-14.156669595610898</v>
      </c>
      <c r="G70" s="3">
        <f t="shared" si="5"/>
        <v>-3.180629963478527</v>
      </c>
      <c r="H70" s="3">
        <f t="shared" si="6"/>
        <v>-3.1806373001387405</v>
      </c>
      <c r="I70" s="3">
        <f t="shared" si="7"/>
        <v>7.721635477833859E-06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60"/>
    </row>
    <row r="71" spans="1:15" ht="12" customHeight="1">
      <c r="A71" s="68"/>
      <c r="B71" s="4" t="s">
        <v>21</v>
      </c>
      <c r="C71" s="5" t="s">
        <v>103</v>
      </c>
      <c r="D71" s="2" t="s">
        <v>101</v>
      </c>
      <c r="E71" s="3">
        <f t="shared" si="3"/>
        <v>-47.87459022458128</v>
      </c>
      <c r="F71" s="3">
        <f t="shared" si="4"/>
        <v>-16.99323667423598</v>
      </c>
      <c r="G71" s="3">
        <f t="shared" si="5"/>
        <v>-4.800651642340359</v>
      </c>
      <c r="H71" s="3">
        <f t="shared" si="6"/>
        <v>-1.878098265435812</v>
      </c>
      <c r="I71" s="3">
        <f t="shared" si="7"/>
        <v>7.02568802769341E-06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60"/>
    </row>
    <row r="72" spans="1:15" ht="12" customHeight="1">
      <c r="A72" s="68"/>
      <c r="B72" s="4" t="s">
        <v>22</v>
      </c>
      <c r="C72" s="5" t="s">
        <v>103</v>
      </c>
      <c r="D72" s="2" t="s">
        <v>101</v>
      </c>
      <c r="E72" s="3">
        <f t="shared" si="3"/>
        <v>-54.02433605738479</v>
      </c>
      <c r="F72" s="3">
        <f t="shared" si="4"/>
        <v>-20.044943307324615</v>
      </c>
      <c r="G72" s="3">
        <f t="shared" si="5"/>
        <v>-7.032907984499694</v>
      </c>
      <c r="H72" s="3">
        <f t="shared" si="6"/>
        <v>-1.012315407880284</v>
      </c>
      <c r="I72" s="3">
        <f t="shared" si="7"/>
        <v>5.801945266246896E-06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60"/>
    </row>
    <row r="73" spans="1:15" ht="12" customHeight="1">
      <c r="A73" s="68"/>
      <c r="B73" s="4" t="s">
        <v>23</v>
      </c>
      <c r="C73" s="5" t="s">
        <v>103</v>
      </c>
      <c r="D73" s="2" t="s">
        <v>101</v>
      </c>
      <c r="E73" s="3">
        <f t="shared" si="3"/>
        <v>-61.0430670302126</v>
      </c>
      <c r="F73" s="3">
        <f t="shared" si="4"/>
        <v>-23.541849099038814</v>
      </c>
      <c r="G73" s="3">
        <f t="shared" si="5"/>
        <v>-10.019252639829876</v>
      </c>
      <c r="H73" s="3">
        <f t="shared" si="6"/>
        <v>-0.4768348820968407</v>
      </c>
      <c r="I73" s="3">
        <f t="shared" si="7"/>
        <v>4.281424283493432E-06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60"/>
    </row>
    <row r="74" spans="1:15" ht="12" customHeight="1">
      <c r="A74" s="69"/>
      <c r="B74" s="4" t="s">
        <v>24</v>
      </c>
      <c r="C74" s="5" t="s">
        <v>103</v>
      </c>
      <c r="D74" s="2" t="s">
        <v>101</v>
      </c>
      <c r="E74" s="3">
        <f t="shared" si="3"/>
        <v>-66.03186334467955</v>
      </c>
      <c r="F74" s="3">
        <f t="shared" si="4"/>
        <v>-26.03187068133976</v>
      </c>
      <c r="G74" s="3">
        <f t="shared" si="5"/>
        <v>-12.315326139909242</v>
      </c>
      <c r="H74" s="3">
        <f t="shared" si="6"/>
        <v>-0.2741336500102071</v>
      </c>
      <c r="I74" s="3">
        <f t="shared" si="7"/>
        <v>3.3321612681294742E-06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61"/>
    </row>
    <row r="75" spans="1:9" ht="12" customHeight="1">
      <c r="A75" s="67" t="s">
        <v>94</v>
      </c>
      <c r="B75" s="4">
        <v>20</v>
      </c>
      <c r="C75" s="5" t="s">
        <v>103</v>
      </c>
      <c r="D75" s="2" t="s">
        <v>97</v>
      </c>
      <c r="E75" s="6">
        <f>IF($H$17=0,0,E207)+180/PI()*(ATAN2((1-F163*E97),(-1)*F141*E97)+ATAN2(E$28,(-1)*F97))</f>
        <v>-6.856350216497278</v>
      </c>
      <c r="F75" s="6">
        <f>IF($H$17=0,0,F207)+180/PI()*(ATAN2((1-F163*E97),(-1)*F141*E97)+ATAN2(F$28,F119))</f>
        <v>83.14364978350272</v>
      </c>
      <c r="G75" s="6">
        <f>IF($H$17=0,0,G207)+180/PI()*(ATAN2((1+G163*E119),G141*E119)+ATAN2(G$28,(-1)*G97))</f>
        <v>88.62505642717689</v>
      </c>
      <c r="H75" s="6">
        <f>IF($H$17=0,0,H207)+180/PI()*(ATAN2((1+G163*E119),G141*E119)+ATAN2(H$28,G119))</f>
        <v>178.6250564271769</v>
      </c>
      <c r="I75" s="6">
        <f>180/PI()*ATAN2((10^(E53/20)*COS(PI()*E75/180)+10^(F53/20)*COS(PI()*F75/180)+10^(G53/20)*COS(PI()*G75/180)+10^(H53/20)*COS(PI()*H75/180)),(10^(E53/20)*SIN(PI()*E75/180)+10^(F53/20)*SIN(PI()*F75/180)+10^(G53/20)*SIN(PI()*G75/180)+10^(H53/20)*SIN(PI()*H75/180)))</f>
        <v>-1.339782452603494E-15</v>
      </c>
    </row>
    <row r="76" spans="1:9" ht="12" customHeight="1">
      <c r="A76" s="68"/>
      <c r="B76" s="4">
        <v>30</v>
      </c>
      <c r="C76" s="5" t="s">
        <v>103</v>
      </c>
      <c r="D76" s="2" t="s">
        <v>97</v>
      </c>
      <c r="E76" s="6">
        <f aca="true" t="shared" si="8" ref="E76:E96">IF($H$17=0,0,E208)+180/PI()*(ATAN2((1-F164*E98),(-1)*F142*E98)+ATAN2(E$28,(-1)*F98))</f>
        <v>-10.249115061428764</v>
      </c>
      <c r="F76" s="6">
        <f aca="true" t="shared" si="9" ref="F76:F96">IF($H$17=0,0,F208)+180/PI()*(ATAN2((1-F164*E98),(-1)*F142*E98)+ATAN2(F$28,F120))</f>
        <v>79.75088493857123</v>
      </c>
      <c r="G76" s="6">
        <f aca="true" t="shared" si="10" ref="G76:G96">IF($H$17=0,0,G208)+180/PI()*(ATAN2((1+G164*E120),G142*E120)+ATAN2(G$28,(-1)*G98))</f>
        <v>87.9378731874014</v>
      </c>
      <c r="H76" s="6">
        <f aca="true" t="shared" si="11" ref="H76:H96">IF($H$17=0,0,H208)+180/PI()*(ATAN2((1+G164*E120),G142*E120)+ATAN2(H$28,G120))</f>
        <v>177.9378731874014</v>
      </c>
      <c r="I76" s="6">
        <f aca="true" t="shared" si="12" ref="I76:I96">180/PI()*ATAN2((10^(E54/20)*COS(PI()*E76/180)+10^(F54/20)*COS(PI()*F76/180)+10^(G54/20)*COS(PI()*G76/180)+10^(H54/20)*COS(PI()*H76/180)),(10^(E54/20)*SIN(PI()*E76/180)+10^(F54/20)*SIN(PI()*F76/180)+10^(G54/20)*SIN(PI()*G76/180)+10^(H54/20)*SIN(PI()*H76/180)))</f>
        <v>-1.6970464493013955E-15</v>
      </c>
    </row>
    <row r="77" spans="1:9" ht="12" customHeight="1">
      <c r="A77" s="68"/>
      <c r="B77" s="4">
        <v>40</v>
      </c>
      <c r="C77" s="5" t="s">
        <v>103</v>
      </c>
      <c r="D77" s="2" t="s">
        <v>97</v>
      </c>
      <c r="E77" s="6">
        <f t="shared" si="8"/>
        <v>-13.600531277063334</v>
      </c>
      <c r="F77" s="6">
        <f t="shared" si="9"/>
        <v>76.39946872293666</v>
      </c>
      <c r="G77" s="6">
        <f t="shared" si="10"/>
        <v>87.25103581923626</v>
      </c>
      <c r="H77" s="6">
        <f t="shared" si="11"/>
        <v>177.2510358192363</v>
      </c>
      <c r="I77" s="6">
        <f t="shared" si="12"/>
        <v>4.810627780843959E-15</v>
      </c>
    </row>
    <row r="78" spans="1:9" ht="12" customHeight="1">
      <c r="A78" s="68"/>
      <c r="B78" s="4">
        <v>50</v>
      </c>
      <c r="C78" s="5" t="s">
        <v>103</v>
      </c>
      <c r="D78" s="2" t="s">
        <v>97</v>
      </c>
      <c r="E78" s="6">
        <f t="shared" si="8"/>
        <v>-16.898634893070753</v>
      </c>
      <c r="F78" s="6">
        <f t="shared" si="9"/>
        <v>73.10136510692925</v>
      </c>
      <c r="G78" s="6">
        <f t="shared" si="10"/>
        <v>86.56465897386248</v>
      </c>
      <c r="H78" s="6">
        <f t="shared" si="11"/>
        <v>176.5646589738625</v>
      </c>
      <c r="I78" s="6">
        <f t="shared" si="12"/>
        <v>-5.883366133490894E-15</v>
      </c>
    </row>
    <row r="79" spans="1:9" ht="12" customHeight="1">
      <c r="A79" s="68"/>
      <c r="B79" s="4">
        <v>70</v>
      </c>
      <c r="C79" s="5" t="s">
        <v>103</v>
      </c>
      <c r="D79" s="2" t="s">
        <v>97</v>
      </c>
      <c r="E79" s="6">
        <f t="shared" si="8"/>
        <v>-23.294200698752924</v>
      </c>
      <c r="F79" s="6">
        <f t="shared" si="9"/>
        <v>66.70579930124708</v>
      </c>
      <c r="G79" s="6">
        <f t="shared" si="10"/>
        <v>85.1937425950701</v>
      </c>
      <c r="H79" s="6">
        <f t="shared" si="11"/>
        <v>175.19374259507012</v>
      </c>
      <c r="I79" s="6">
        <f t="shared" si="12"/>
        <v>-1.1436330407371747E-14</v>
      </c>
    </row>
    <row r="80" spans="1:9" ht="12" customHeight="1">
      <c r="A80" s="68"/>
      <c r="B80" s="4">
        <v>100</v>
      </c>
      <c r="C80" s="5" t="s">
        <v>103</v>
      </c>
      <c r="D80" s="2" t="s">
        <v>97</v>
      </c>
      <c r="E80" s="6">
        <f t="shared" si="8"/>
        <v>-32.275620164653546</v>
      </c>
      <c r="F80" s="6">
        <f t="shared" si="9"/>
        <v>57.72437983534646</v>
      </c>
      <c r="G80" s="6">
        <f t="shared" si="10"/>
        <v>83.14364978350272</v>
      </c>
      <c r="H80" s="6">
        <f t="shared" si="11"/>
        <v>173.14364978350275</v>
      </c>
      <c r="I80" s="6">
        <f t="shared" si="12"/>
        <v>-1.0822893347226197E-14</v>
      </c>
    </row>
    <row r="81" spans="1:9" ht="12" customHeight="1">
      <c r="A81" s="68"/>
      <c r="B81" s="4">
        <v>150</v>
      </c>
      <c r="C81" s="5" t="s">
        <v>103</v>
      </c>
      <c r="D81" s="2" t="s">
        <v>97</v>
      </c>
      <c r="E81" s="6">
        <f t="shared" si="8"/>
        <v>-45.400632926251205</v>
      </c>
      <c r="F81" s="6">
        <f t="shared" si="9"/>
        <v>44.599367073748795</v>
      </c>
      <c r="G81" s="6">
        <f t="shared" si="10"/>
        <v>79.75088493857123</v>
      </c>
      <c r="H81" s="6">
        <f t="shared" si="11"/>
        <v>169.75088493857123</v>
      </c>
      <c r="I81" s="6">
        <f t="shared" si="12"/>
        <v>-8.553952727295433E-15</v>
      </c>
    </row>
    <row r="82" spans="1:9" ht="12" customHeight="1">
      <c r="A82" s="68"/>
      <c r="B82" s="4">
        <v>200</v>
      </c>
      <c r="C82" s="5" t="s">
        <v>103</v>
      </c>
      <c r="D82" s="2" t="s">
        <v>97</v>
      </c>
      <c r="E82" s="6">
        <f t="shared" si="8"/>
        <v>-56.30989896931191</v>
      </c>
      <c r="F82" s="6">
        <f t="shared" si="9"/>
        <v>33.69010103068809</v>
      </c>
      <c r="G82" s="6">
        <f t="shared" si="10"/>
        <v>76.39946872293666</v>
      </c>
      <c r="H82" s="6">
        <f t="shared" si="11"/>
        <v>166.3994687229367</v>
      </c>
      <c r="I82" s="6">
        <f t="shared" si="12"/>
        <v>-6.994735490874845E-15</v>
      </c>
    </row>
    <row r="83" spans="1:9" ht="12" customHeight="1">
      <c r="A83" s="68"/>
      <c r="B83" s="4">
        <v>300</v>
      </c>
      <c r="C83" s="5" t="s">
        <v>103</v>
      </c>
      <c r="D83" s="2" t="s">
        <v>97</v>
      </c>
      <c r="E83" s="6">
        <f t="shared" si="8"/>
        <v>-73.00914105162423</v>
      </c>
      <c r="F83" s="6">
        <f t="shared" si="9"/>
        <v>16.99085894837578</v>
      </c>
      <c r="G83" s="6">
        <f t="shared" si="10"/>
        <v>69.86714161679174</v>
      </c>
      <c r="H83" s="6">
        <f t="shared" si="11"/>
        <v>159.86714161679174</v>
      </c>
      <c r="I83" s="6">
        <f t="shared" si="12"/>
        <v>3.1805546814635176E-15</v>
      </c>
    </row>
    <row r="84" spans="1:9" ht="12" customHeight="1">
      <c r="A84" s="68"/>
      <c r="B84" s="4">
        <v>400</v>
      </c>
      <c r="C84" s="5" t="s">
        <v>103</v>
      </c>
      <c r="D84" s="2" t="s">
        <v>97</v>
      </c>
      <c r="E84" s="6">
        <f t="shared" si="8"/>
        <v>-85.23632226282533</v>
      </c>
      <c r="F84" s="6">
        <f t="shared" si="9"/>
        <v>4.763677737174674</v>
      </c>
      <c r="G84" s="6">
        <f t="shared" si="10"/>
        <v>63.62468978894591</v>
      </c>
      <c r="H84" s="6">
        <f t="shared" si="11"/>
        <v>153.62468978894591</v>
      </c>
      <c r="I84" s="6">
        <f t="shared" si="12"/>
        <v>-5.069009023582481E-15</v>
      </c>
    </row>
    <row r="85" spans="1:9" ht="12" customHeight="1">
      <c r="A85" s="68"/>
      <c r="B85" s="4">
        <v>500</v>
      </c>
      <c r="C85" s="5" t="s">
        <v>103</v>
      </c>
      <c r="D85" s="2" t="s">
        <v>97</v>
      </c>
      <c r="E85" s="6">
        <f t="shared" si="8"/>
        <v>-94.76360564427726</v>
      </c>
      <c r="F85" s="6">
        <f t="shared" si="9"/>
        <v>-4.763605644277276</v>
      </c>
      <c r="G85" s="6">
        <f t="shared" si="10"/>
        <v>57.72437983534646</v>
      </c>
      <c r="H85" s="6">
        <f t="shared" si="11"/>
        <v>147.72437983534647</v>
      </c>
      <c r="I85" s="6">
        <f t="shared" si="12"/>
        <v>-7.156248033292914E-15</v>
      </c>
    </row>
    <row r="86" spans="1:9" ht="12" customHeight="1">
      <c r="A86" s="68"/>
      <c r="B86" s="4">
        <v>700</v>
      </c>
      <c r="C86" s="5" t="s">
        <v>103</v>
      </c>
      <c r="D86" s="2" t="s">
        <v>97</v>
      </c>
      <c r="E86" s="6">
        <f t="shared" si="8"/>
        <v>-109.04658877763346</v>
      </c>
      <c r="F86" s="6">
        <f t="shared" si="9"/>
        <v>-19.046588777633467</v>
      </c>
      <c r="G86" s="6">
        <f t="shared" si="10"/>
        <v>47.03839878849887</v>
      </c>
      <c r="H86" s="6">
        <f t="shared" si="11"/>
        <v>137.03839878849888</v>
      </c>
      <c r="I86" s="6">
        <f t="shared" si="12"/>
        <v>-3.975693351829396E-16</v>
      </c>
    </row>
    <row r="87" spans="1:9" ht="12" customHeight="1">
      <c r="A87" s="68"/>
      <c r="B87" s="4" t="s">
        <v>5</v>
      </c>
      <c r="C87" s="5" t="s">
        <v>103</v>
      </c>
      <c r="D87" s="2" t="s">
        <v>97</v>
      </c>
      <c r="E87" s="6">
        <f t="shared" si="8"/>
        <v>-123.69003402126424</v>
      </c>
      <c r="F87" s="6">
        <f t="shared" si="9"/>
        <v>-33.690034021264225</v>
      </c>
      <c r="G87" s="6">
        <f t="shared" si="10"/>
        <v>33.690101030688105</v>
      </c>
      <c r="H87" s="6">
        <f t="shared" si="11"/>
        <v>123.69010103068808</v>
      </c>
      <c r="I87" s="6">
        <f t="shared" si="12"/>
        <v>-6.361109362927035E-15</v>
      </c>
    </row>
    <row r="88" spans="1:9" ht="12" customHeight="1">
      <c r="A88" s="68"/>
      <c r="B88" s="4" t="s">
        <v>6</v>
      </c>
      <c r="C88" s="5" t="s">
        <v>103</v>
      </c>
      <c r="D88" s="2" t="s">
        <v>97</v>
      </c>
      <c r="E88" s="6">
        <f t="shared" si="8"/>
        <v>-138.71526042890056</v>
      </c>
      <c r="F88" s="6">
        <f t="shared" si="9"/>
        <v>-48.715260428900564</v>
      </c>
      <c r="G88" s="6">
        <f t="shared" si="10"/>
        <v>16.990858948375777</v>
      </c>
      <c r="H88" s="6">
        <f t="shared" si="11"/>
        <v>106.99085894837577</v>
      </c>
      <c r="I88" s="6">
        <f t="shared" si="12"/>
        <v>-6.3611093629270335E-15</v>
      </c>
    </row>
    <row r="89" spans="1:9" ht="12" customHeight="1">
      <c r="A89" s="68"/>
      <c r="B89" s="4" t="s">
        <v>7</v>
      </c>
      <c r="C89" s="5" t="s">
        <v>103</v>
      </c>
      <c r="D89" s="2" t="s">
        <v>97</v>
      </c>
      <c r="E89" s="6">
        <f t="shared" si="8"/>
        <v>-147.7243315354845</v>
      </c>
      <c r="F89" s="6">
        <f t="shared" si="9"/>
        <v>-57.72433153548451</v>
      </c>
      <c r="G89" s="6">
        <f t="shared" si="10"/>
        <v>4.763677737174687</v>
      </c>
      <c r="H89" s="6">
        <f t="shared" si="11"/>
        <v>94.76367773717469</v>
      </c>
      <c r="I89" s="6">
        <f t="shared" si="12"/>
        <v>9.541664044390552E-15</v>
      </c>
    </row>
    <row r="90" spans="1:9" ht="12" customHeight="1">
      <c r="A90" s="68"/>
      <c r="B90" s="4" t="s">
        <v>8</v>
      </c>
      <c r="C90" s="5" t="s">
        <v>103</v>
      </c>
      <c r="D90" s="2" t="s">
        <v>97</v>
      </c>
      <c r="E90" s="6">
        <f t="shared" si="8"/>
        <v>-157.75095861196922</v>
      </c>
      <c r="F90" s="6">
        <f t="shared" si="9"/>
        <v>-67.75095861196924</v>
      </c>
      <c r="G90" s="6">
        <f t="shared" si="10"/>
        <v>-12.52877183940042</v>
      </c>
      <c r="H90" s="6">
        <f t="shared" si="11"/>
        <v>77.47122816059958</v>
      </c>
      <c r="I90" s="6">
        <f t="shared" si="12"/>
        <v>1.272221872585407E-14</v>
      </c>
    </row>
    <row r="91" spans="1:9" ht="12" customHeight="1">
      <c r="A91" s="68"/>
      <c r="B91" s="4" t="s">
        <v>9</v>
      </c>
      <c r="C91" s="5" t="s">
        <v>103</v>
      </c>
      <c r="D91" s="2" t="s">
        <v>97</v>
      </c>
      <c r="E91" s="6">
        <f t="shared" si="8"/>
        <v>-163.1013375049838</v>
      </c>
      <c r="F91" s="6">
        <f t="shared" si="9"/>
        <v>-73.10133750498377</v>
      </c>
      <c r="G91" s="6">
        <f t="shared" si="10"/>
        <v>-24.62352979128308</v>
      </c>
      <c r="H91" s="6">
        <f t="shared" si="11"/>
        <v>65.37647020871691</v>
      </c>
      <c r="I91" s="6">
        <f t="shared" si="12"/>
        <v>6.361109362927032E-15</v>
      </c>
    </row>
    <row r="92" spans="1:9" ht="12" customHeight="1">
      <c r="A92" s="68"/>
      <c r="B92" s="4" t="s">
        <v>10</v>
      </c>
      <c r="C92" s="5" t="s">
        <v>103</v>
      </c>
      <c r="D92" s="2" t="s">
        <v>97</v>
      </c>
      <c r="E92" s="6">
        <f t="shared" si="8"/>
        <v>-166.39944624373697</v>
      </c>
      <c r="F92" s="6">
        <f t="shared" si="9"/>
        <v>-76.39944624373696</v>
      </c>
      <c r="G92" s="6">
        <f t="shared" si="10"/>
        <v>-33.69003402126422</v>
      </c>
      <c r="H92" s="6">
        <f t="shared" si="11"/>
        <v>56.30996597873579</v>
      </c>
      <c r="I92" s="6">
        <f t="shared" si="12"/>
        <v>6.3611093629270335E-15</v>
      </c>
    </row>
    <row r="93" spans="1:9" ht="12" customHeight="1">
      <c r="A93" s="68"/>
      <c r="B93" s="4" t="s">
        <v>11</v>
      </c>
      <c r="C93" s="5" t="s">
        <v>103</v>
      </c>
      <c r="D93" s="2" t="s">
        <v>97</v>
      </c>
      <c r="E93" s="6">
        <f t="shared" si="8"/>
        <v>-170.23331244722038</v>
      </c>
      <c r="F93" s="6">
        <f t="shared" si="9"/>
        <v>-80.23331244722037</v>
      </c>
      <c r="G93" s="6">
        <f t="shared" si="10"/>
        <v>-46.3321901886107</v>
      </c>
      <c r="H93" s="6">
        <f t="shared" si="11"/>
        <v>43.667809811389304</v>
      </c>
      <c r="I93" s="6">
        <f t="shared" si="12"/>
        <v>0</v>
      </c>
    </row>
    <row r="94" spans="1:9" ht="12" customHeight="1">
      <c r="A94" s="68"/>
      <c r="B94" s="4" t="s">
        <v>12</v>
      </c>
      <c r="C94" s="5" t="s">
        <v>103</v>
      </c>
      <c r="D94" s="2" t="s">
        <v>97</v>
      </c>
      <c r="E94" s="6">
        <f t="shared" si="8"/>
        <v>-173.143638265143</v>
      </c>
      <c r="F94" s="6">
        <f t="shared" si="9"/>
        <v>-83.143638265143</v>
      </c>
      <c r="G94" s="6">
        <f t="shared" si="10"/>
        <v>-57.72433153548451</v>
      </c>
      <c r="H94" s="6">
        <f t="shared" si="11"/>
        <v>32.275668464515505</v>
      </c>
      <c r="I94" s="6">
        <f t="shared" si="12"/>
        <v>-3.1805546814635168E-15</v>
      </c>
    </row>
    <row r="95" spans="1:9" ht="12" customHeight="1">
      <c r="A95" s="68"/>
      <c r="B95" s="4" t="s">
        <v>13</v>
      </c>
      <c r="C95" s="5" t="s">
        <v>103</v>
      </c>
      <c r="D95" s="2" t="s">
        <v>97</v>
      </c>
      <c r="E95" s="6">
        <f t="shared" si="8"/>
        <v>-175.42202284751315</v>
      </c>
      <c r="F95" s="6">
        <f t="shared" si="9"/>
        <v>-85.42202284751315</v>
      </c>
      <c r="G95" s="6">
        <f t="shared" si="10"/>
        <v>-67.75095861196924</v>
      </c>
      <c r="H95" s="6">
        <f t="shared" si="11"/>
        <v>22.249041388030772</v>
      </c>
      <c r="I95" s="6">
        <f t="shared" si="12"/>
        <v>6.3611093629270335E-15</v>
      </c>
    </row>
    <row r="96" spans="1:9" ht="12" customHeight="1">
      <c r="A96" s="69"/>
      <c r="B96" s="4" t="s">
        <v>14</v>
      </c>
      <c r="C96" s="5" t="s">
        <v>103</v>
      </c>
      <c r="D96" s="2" t="s">
        <v>97</v>
      </c>
      <c r="E96" s="6">
        <f t="shared" si="8"/>
        <v>-176.56465317854463</v>
      </c>
      <c r="F96" s="6">
        <f t="shared" si="9"/>
        <v>-86.56465317854462</v>
      </c>
      <c r="G96" s="6">
        <f t="shared" si="10"/>
        <v>-73.10133750498377</v>
      </c>
      <c r="H96" s="6">
        <f t="shared" si="11"/>
        <v>16.898662495016218</v>
      </c>
      <c r="I96" s="6">
        <f t="shared" si="12"/>
        <v>0</v>
      </c>
    </row>
    <row r="97" spans="1:9" ht="12" customHeight="1">
      <c r="A97" s="67" t="s">
        <v>140</v>
      </c>
      <c r="B97" s="4">
        <v>20</v>
      </c>
      <c r="C97" s="5" t="s">
        <v>103</v>
      </c>
      <c r="D97" s="2" t="s">
        <v>100</v>
      </c>
      <c r="E97" s="6">
        <f aca="true" t="shared" si="13" ref="E97:G118">2*3.14159*$B97*E$18*0.001</f>
        <v>0.11999989864033621</v>
      </c>
      <c r="F97" s="6">
        <f t="shared" si="13"/>
        <v>0.599999493201681</v>
      </c>
      <c r="G97" s="6">
        <f t="shared" si="13"/>
        <v>0.02399997972806724</v>
      </c>
      <c r="H97" s="6"/>
      <c r="I97" s="6"/>
    </row>
    <row r="98" spans="1:9" ht="12" customHeight="1">
      <c r="A98" s="68"/>
      <c r="B98" s="4">
        <v>30</v>
      </c>
      <c r="C98" s="5" t="s">
        <v>103</v>
      </c>
      <c r="D98" s="2" t="s">
        <v>100</v>
      </c>
      <c r="E98" s="6">
        <f t="shared" si="13"/>
        <v>0.1799998479605043</v>
      </c>
      <c r="F98" s="6">
        <f t="shared" si="13"/>
        <v>0.8999992398025213</v>
      </c>
      <c r="G98" s="6">
        <f t="shared" si="13"/>
        <v>0.035999969592100854</v>
      </c>
      <c r="H98" s="6"/>
      <c r="I98" s="6"/>
    </row>
    <row r="99" spans="1:9" ht="12" customHeight="1">
      <c r="A99" s="68"/>
      <c r="B99" s="4">
        <v>40</v>
      </c>
      <c r="C99" s="5" t="s">
        <v>103</v>
      </c>
      <c r="D99" s="2" t="s">
        <v>100</v>
      </c>
      <c r="E99" s="6">
        <f t="shared" si="13"/>
        <v>0.23999979728067242</v>
      </c>
      <c r="F99" s="6">
        <f t="shared" si="13"/>
        <v>1.199998986403362</v>
      </c>
      <c r="G99" s="6">
        <f t="shared" si="13"/>
        <v>0.04799995945613448</v>
      </c>
      <c r="H99" s="6"/>
      <c r="I99" s="6"/>
    </row>
    <row r="100" spans="1:9" ht="12" customHeight="1">
      <c r="A100" s="68"/>
      <c r="B100" s="4">
        <v>50</v>
      </c>
      <c r="C100" s="5" t="s">
        <v>103</v>
      </c>
      <c r="D100" s="2" t="s">
        <v>100</v>
      </c>
      <c r="E100" s="6">
        <f t="shared" si="13"/>
        <v>0.29999974660084056</v>
      </c>
      <c r="F100" s="6">
        <f t="shared" si="13"/>
        <v>1.4999987330042022</v>
      </c>
      <c r="G100" s="6">
        <f t="shared" si="13"/>
        <v>0.05999994932016809</v>
      </c>
      <c r="H100" s="6"/>
      <c r="I100" s="6"/>
    </row>
    <row r="101" spans="1:9" ht="12" customHeight="1">
      <c r="A101" s="68"/>
      <c r="B101" s="4">
        <v>70</v>
      </c>
      <c r="C101" s="5" t="s">
        <v>103</v>
      </c>
      <c r="D101" s="2" t="s">
        <v>100</v>
      </c>
      <c r="E101" s="6">
        <f t="shared" si="13"/>
        <v>0.41999964524117667</v>
      </c>
      <c r="F101" s="6">
        <f t="shared" si="13"/>
        <v>2.099998226205883</v>
      </c>
      <c r="G101" s="6">
        <f t="shared" si="13"/>
        <v>0.08399992904823533</v>
      </c>
      <c r="H101" s="6"/>
      <c r="I101" s="6"/>
    </row>
    <row r="102" spans="1:9" ht="12" customHeight="1">
      <c r="A102" s="68"/>
      <c r="B102" s="4">
        <v>100</v>
      </c>
      <c r="C102" s="5" t="s">
        <v>103</v>
      </c>
      <c r="D102" s="2" t="s">
        <v>100</v>
      </c>
      <c r="E102" s="6">
        <f t="shared" si="13"/>
        <v>0.5999994932016811</v>
      </c>
      <c r="F102" s="6">
        <f t="shared" si="13"/>
        <v>2.9999974660084043</v>
      </c>
      <c r="G102" s="6">
        <f t="shared" si="13"/>
        <v>0.11999989864033618</v>
      </c>
      <c r="H102" s="6"/>
      <c r="I102" s="6"/>
    </row>
    <row r="103" spans="1:9" ht="12" customHeight="1">
      <c r="A103" s="68"/>
      <c r="B103" s="4">
        <v>150</v>
      </c>
      <c r="C103" s="5" t="s">
        <v>103</v>
      </c>
      <c r="D103" s="2" t="s">
        <v>100</v>
      </c>
      <c r="E103" s="6">
        <f t="shared" si="13"/>
        <v>0.8999992398025215</v>
      </c>
      <c r="F103" s="6">
        <f t="shared" si="13"/>
        <v>4.499996199012607</v>
      </c>
      <c r="G103" s="6">
        <f t="shared" si="13"/>
        <v>0.17999984796050428</v>
      </c>
      <c r="H103" s="6"/>
      <c r="I103" s="6"/>
    </row>
    <row r="104" spans="1:9" ht="12" customHeight="1">
      <c r="A104" s="68"/>
      <c r="B104" s="4">
        <v>200</v>
      </c>
      <c r="C104" s="5" t="s">
        <v>103</v>
      </c>
      <c r="D104" s="2" t="s">
        <v>100</v>
      </c>
      <c r="E104" s="6">
        <f t="shared" si="13"/>
        <v>1.1999989864033622</v>
      </c>
      <c r="F104" s="6">
        <f t="shared" si="13"/>
        <v>5.999994932016809</v>
      </c>
      <c r="G104" s="6">
        <f t="shared" si="13"/>
        <v>0.23999979728067236</v>
      </c>
      <c r="H104" s="6"/>
      <c r="I104" s="6"/>
    </row>
    <row r="105" spans="1:9" ht="12" customHeight="1">
      <c r="A105" s="68"/>
      <c r="B105" s="4">
        <v>300</v>
      </c>
      <c r="C105" s="5" t="s">
        <v>103</v>
      </c>
      <c r="D105" s="2" t="s">
        <v>100</v>
      </c>
      <c r="E105" s="6">
        <f t="shared" si="13"/>
        <v>1.799998479605043</v>
      </c>
      <c r="F105" s="6">
        <f t="shared" si="13"/>
        <v>8.999992398025213</v>
      </c>
      <c r="G105" s="6">
        <f t="shared" si="13"/>
        <v>0.35999969592100856</v>
      </c>
      <c r="H105" s="6"/>
      <c r="I105" s="6"/>
    </row>
    <row r="106" spans="1:9" ht="12" customHeight="1">
      <c r="A106" s="68"/>
      <c r="B106" s="4">
        <v>400</v>
      </c>
      <c r="C106" s="5" t="s">
        <v>103</v>
      </c>
      <c r="D106" s="2" t="s">
        <v>100</v>
      </c>
      <c r="E106" s="6">
        <f t="shared" si="13"/>
        <v>2.3999979728067244</v>
      </c>
      <c r="F106" s="6">
        <f t="shared" si="13"/>
        <v>11.999989864033617</v>
      </c>
      <c r="G106" s="6">
        <f t="shared" si="13"/>
        <v>0.4799995945613447</v>
      </c>
      <c r="H106" s="6"/>
      <c r="I106" s="6"/>
    </row>
    <row r="107" spans="1:9" ht="12" customHeight="1">
      <c r="A107" s="68"/>
      <c r="B107" s="4">
        <v>500</v>
      </c>
      <c r="C107" s="5" t="s">
        <v>103</v>
      </c>
      <c r="D107" s="2" t="s">
        <v>100</v>
      </c>
      <c r="E107" s="6">
        <f t="shared" si="13"/>
        <v>2.999997466008405</v>
      </c>
      <c r="F107" s="6">
        <f t="shared" si="13"/>
        <v>14.999987330042021</v>
      </c>
      <c r="G107" s="6">
        <f t="shared" si="13"/>
        <v>0.5999994932016808</v>
      </c>
      <c r="H107" s="6"/>
      <c r="I107" s="6"/>
    </row>
    <row r="108" spans="1:9" ht="12" customHeight="1">
      <c r="A108" s="68"/>
      <c r="B108" s="4">
        <v>700</v>
      </c>
      <c r="C108" s="5" t="s">
        <v>103</v>
      </c>
      <c r="D108" s="2" t="s">
        <v>100</v>
      </c>
      <c r="E108" s="6">
        <f t="shared" si="13"/>
        <v>4.199996452411767</v>
      </c>
      <c r="F108" s="6">
        <f t="shared" si="13"/>
        <v>20.999982262058833</v>
      </c>
      <c r="G108" s="6">
        <f t="shared" si="13"/>
        <v>0.8399992904823532</v>
      </c>
      <c r="H108" s="6"/>
      <c r="I108" s="6"/>
    </row>
    <row r="109" spans="1:9" ht="12" customHeight="1">
      <c r="A109" s="68"/>
      <c r="B109" s="4">
        <v>1000</v>
      </c>
      <c r="C109" s="5" t="s">
        <v>103</v>
      </c>
      <c r="D109" s="2" t="s">
        <v>100</v>
      </c>
      <c r="E109" s="6">
        <f t="shared" si="13"/>
        <v>5.99999493201681</v>
      </c>
      <c r="F109" s="6">
        <f t="shared" si="13"/>
        <v>29.999974660084042</v>
      </c>
      <c r="G109" s="6">
        <f t="shared" si="13"/>
        <v>1.1999989864033616</v>
      </c>
      <c r="H109" s="6"/>
      <c r="I109" s="6"/>
    </row>
    <row r="110" spans="1:9" ht="12" customHeight="1">
      <c r="A110" s="68"/>
      <c r="B110" s="4">
        <v>1500</v>
      </c>
      <c r="C110" s="5" t="s">
        <v>103</v>
      </c>
      <c r="D110" s="2" t="s">
        <v>100</v>
      </c>
      <c r="E110" s="6">
        <f t="shared" si="13"/>
        <v>8.999992398025215</v>
      </c>
      <c r="F110" s="6">
        <f t="shared" si="13"/>
        <v>44.99996199012607</v>
      </c>
      <c r="G110" s="6">
        <f t="shared" si="13"/>
        <v>1.7999984796050428</v>
      </c>
      <c r="H110" s="6"/>
      <c r="I110" s="6"/>
    </row>
    <row r="111" spans="1:9" ht="12" customHeight="1">
      <c r="A111" s="68"/>
      <c r="B111" s="4">
        <v>2000</v>
      </c>
      <c r="C111" s="5" t="s">
        <v>103</v>
      </c>
      <c r="D111" s="2" t="s">
        <v>100</v>
      </c>
      <c r="E111" s="6">
        <f t="shared" si="13"/>
        <v>11.99998986403362</v>
      </c>
      <c r="F111" s="6">
        <f t="shared" si="13"/>
        <v>59.999949320168085</v>
      </c>
      <c r="G111" s="6">
        <f t="shared" si="13"/>
        <v>2.399997972806723</v>
      </c>
      <c r="H111" s="6"/>
      <c r="I111" s="6"/>
    </row>
    <row r="112" spans="1:9" ht="12" customHeight="1">
      <c r="A112" s="68"/>
      <c r="B112" s="4">
        <v>3000</v>
      </c>
      <c r="C112" s="5" t="s">
        <v>103</v>
      </c>
      <c r="D112" s="2" t="s">
        <v>100</v>
      </c>
      <c r="E112" s="6">
        <f t="shared" si="13"/>
        <v>17.99998479605043</v>
      </c>
      <c r="F112" s="6">
        <f t="shared" si="13"/>
        <v>89.99992398025213</v>
      </c>
      <c r="G112" s="6">
        <f t="shared" si="13"/>
        <v>3.5999969592100856</v>
      </c>
      <c r="H112" s="6"/>
      <c r="I112" s="6"/>
    </row>
    <row r="113" spans="1:9" ht="12" customHeight="1">
      <c r="A113" s="68"/>
      <c r="B113" s="4">
        <v>4000</v>
      </c>
      <c r="C113" s="5" t="s">
        <v>103</v>
      </c>
      <c r="D113" s="2" t="s">
        <v>100</v>
      </c>
      <c r="E113" s="6">
        <f t="shared" si="13"/>
        <v>23.99997972806724</v>
      </c>
      <c r="F113" s="6">
        <f t="shared" si="13"/>
        <v>119.99989864033617</v>
      </c>
      <c r="G113" s="6">
        <f t="shared" si="13"/>
        <v>4.799995945613446</v>
      </c>
      <c r="H113" s="6"/>
      <c r="I113" s="6"/>
    </row>
    <row r="114" spans="1:9" ht="12" customHeight="1">
      <c r="A114" s="68"/>
      <c r="B114" s="4">
        <v>5000</v>
      </c>
      <c r="C114" s="5" t="s">
        <v>103</v>
      </c>
      <c r="D114" s="2" t="s">
        <v>100</v>
      </c>
      <c r="E114" s="6">
        <f t="shared" si="13"/>
        <v>29.99997466008405</v>
      </c>
      <c r="F114" s="6">
        <f t="shared" si="13"/>
        <v>149.9998733004202</v>
      </c>
      <c r="G114" s="6">
        <f t="shared" si="13"/>
        <v>5.999994932016809</v>
      </c>
      <c r="H114" s="6"/>
      <c r="I114" s="6"/>
    </row>
    <row r="115" spans="1:9" ht="12" customHeight="1">
      <c r="A115" s="68"/>
      <c r="B115" s="4">
        <v>7000</v>
      </c>
      <c r="C115" s="5" t="s">
        <v>103</v>
      </c>
      <c r="D115" s="2" t="s">
        <v>100</v>
      </c>
      <c r="E115" s="6">
        <f t="shared" si="13"/>
        <v>41.99996452411767</v>
      </c>
      <c r="F115" s="6">
        <f t="shared" si="13"/>
        <v>209.9998226205883</v>
      </c>
      <c r="G115" s="6">
        <f t="shared" si="13"/>
        <v>8.399992904823533</v>
      </c>
      <c r="H115" s="6"/>
      <c r="I115" s="6"/>
    </row>
    <row r="116" spans="1:9" ht="12" customHeight="1">
      <c r="A116" s="68"/>
      <c r="B116" s="4">
        <v>10000</v>
      </c>
      <c r="C116" s="5" t="s">
        <v>103</v>
      </c>
      <c r="D116" s="2" t="s">
        <v>100</v>
      </c>
      <c r="E116" s="6">
        <f t="shared" si="13"/>
        <v>59.9999493201681</v>
      </c>
      <c r="F116" s="6">
        <f t="shared" si="13"/>
        <v>299.9997466008404</v>
      </c>
      <c r="G116" s="6">
        <f t="shared" si="13"/>
        <v>11.999989864033617</v>
      </c>
      <c r="H116" s="6"/>
      <c r="I116" s="6"/>
    </row>
    <row r="117" spans="1:9" ht="12" customHeight="1">
      <c r="A117" s="68"/>
      <c r="B117" s="4">
        <v>15000</v>
      </c>
      <c r="C117" s="5" t="s">
        <v>103</v>
      </c>
      <c r="D117" s="2" t="s">
        <v>100</v>
      </c>
      <c r="E117" s="6">
        <f t="shared" si="13"/>
        <v>89.99992398025215</v>
      </c>
      <c r="F117" s="6">
        <f t="shared" si="13"/>
        <v>449.99961990126064</v>
      </c>
      <c r="G117" s="6">
        <f t="shared" si="13"/>
        <v>17.999984796050427</v>
      </c>
      <c r="H117" s="6"/>
      <c r="I117" s="6"/>
    </row>
    <row r="118" spans="1:9" ht="12" customHeight="1">
      <c r="A118" s="69"/>
      <c r="B118" s="4">
        <v>20000</v>
      </c>
      <c r="C118" s="5" t="s">
        <v>103</v>
      </c>
      <c r="D118" s="2" t="s">
        <v>100</v>
      </c>
      <c r="E118" s="6">
        <f t="shared" si="13"/>
        <v>119.9998986403362</v>
      </c>
      <c r="F118" s="6">
        <f t="shared" si="13"/>
        <v>599.9994932016808</v>
      </c>
      <c r="G118" s="6">
        <f t="shared" si="13"/>
        <v>23.999979728067235</v>
      </c>
      <c r="H118" s="6"/>
      <c r="I118" s="6"/>
    </row>
    <row r="119" spans="1:9" ht="12" customHeight="1">
      <c r="A119" s="67" t="s">
        <v>139</v>
      </c>
      <c r="B119" s="4">
        <v>20</v>
      </c>
      <c r="C119" s="5" t="s">
        <v>103</v>
      </c>
      <c r="D119" s="2" t="s">
        <v>100</v>
      </c>
      <c r="E119" s="6">
        <f aca="true" t="shared" si="14" ref="E119:G140">1/(2*3.14159*$B97*E$19/1000000)</f>
        <v>300.00025339937355</v>
      </c>
      <c r="F119" s="6">
        <f t="shared" si="14"/>
        <v>60.000050679874704</v>
      </c>
      <c r="G119" s="6">
        <f t="shared" si="14"/>
        <v>1500.0012669968678</v>
      </c>
      <c r="H119" s="6"/>
      <c r="I119" s="6"/>
    </row>
    <row r="120" spans="1:9" ht="12" customHeight="1">
      <c r="A120" s="68"/>
      <c r="B120" s="4">
        <v>30</v>
      </c>
      <c r="C120" s="5" t="s">
        <v>103</v>
      </c>
      <c r="D120" s="2" t="s">
        <v>100</v>
      </c>
      <c r="E120" s="6">
        <f t="shared" si="14"/>
        <v>200.0001689329157</v>
      </c>
      <c r="F120" s="6">
        <f t="shared" si="14"/>
        <v>40.00003378658314</v>
      </c>
      <c r="G120" s="6">
        <f t="shared" si="14"/>
        <v>1000.0008446645785</v>
      </c>
      <c r="H120" s="6"/>
      <c r="I120" s="6"/>
    </row>
    <row r="121" spans="1:9" ht="12" customHeight="1">
      <c r="A121" s="68"/>
      <c r="B121" s="4">
        <v>40</v>
      </c>
      <c r="C121" s="5" t="s">
        <v>103</v>
      </c>
      <c r="D121" s="2" t="s">
        <v>100</v>
      </c>
      <c r="E121" s="6">
        <f t="shared" si="14"/>
        <v>150.00012669968677</v>
      </c>
      <c r="F121" s="6">
        <f t="shared" si="14"/>
        <v>30.000025339937352</v>
      </c>
      <c r="G121" s="6">
        <f t="shared" si="14"/>
        <v>750.0006334984339</v>
      </c>
      <c r="H121" s="6"/>
      <c r="I121" s="6"/>
    </row>
    <row r="122" spans="1:9" ht="12" customHeight="1">
      <c r="A122" s="68"/>
      <c r="B122" s="4">
        <v>50</v>
      </c>
      <c r="C122" s="5" t="s">
        <v>103</v>
      </c>
      <c r="D122" s="2" t="s">
        <v>100</v>
      </c>
      <c r="E122" s="6">
        <f t="shared" si="14"/>
        <v>120.00010135974941</v>
      </c>
      <c r="F122" s="6">
        <f t="shared" si="14"/>
        <v>24.000020271949886</v>
      </c>
      <c r="G122" s="6">
        <f t="shared" si="14"/>
        <v>600.0005067987471</v>
      </c>
      <c r="H122" s="6"/>
      <c r="I122" s="6"/>
    </row>
    <row r="123" spans="1:9" ht="12" customHeight="1">
      <c r="A123" s="68"/>
      <c r="B123" s="4">
        <v>70</v>
      </c>
      <c r="C123" s="5" t="s">
        <v>103</v>
      </c>
      <c r="D123" s="2" t="s">
        <v>100</v>
      </c>
      <c r="E123" s="6">
        <f t="shared" si="14"/>
        <v>85.71435811410674</v>
      </c>
      <c r="F123" s="6">
        <f t="shared" si="14"/>
        <v>17.142871622821346</v>
      </c>
      <c r="G123" s="6">
        <f t="shared" si="14"/>
        <v>428.5717905705336</v>
      </c>
      <c r="H123" s="6"/>
      <c r="I123" s="6"/>
    </row>
    <row r="124" spans="1:9" ht="12" customHeight="1">
      <c r="A124" s="68"/>
      <c r="B124" s="4">
        <v>100</v>
      </c>
      <c r="C124" s="5" t="s">
        <v>103</v>
      </c>
      <c r="D124" s="2" t="s">
        <v>100</v>
      </c>
      <c r="E124" s="6">
        <f t="shared" si="14"/>
        <v>60.000050679874704</v>
      </c>
      <c r="F124" s="6">
        <f t="shared" si="14"/>
        <v>12.000010135974943</v>
      </c>
      <c r="G124" s="6">
        <f t="shared" si="14"/>
        <v>300.00025339937355</v>
      </c>
      <c r="H124" s="6"/>
      <c r="I124" s="6"/>
    </row>
    <row r="125" spans="1:9" ht="12" customHeight="1">
      <c r="A125" s="68"/>
      <c r="B125" s="4">
        <v>150</v>
      </c>
      <c r="C125" s="5" t="s">
        <v>103</v>
      </c>
      <c r="D125" s="2" t="s">
        <v>100</v>
      </c>
      <c r="E125" s="6">
        <f t="shared" si="14"/>
        <v>40.00003378658314</v>
      </c>
      <c r="F125" s="6">
        <f t="shared" si="14"/>
        <v>8.000006757316628</v>
      </c>
      <c r="G125" s="6">
        <f t="shared" si="14"/>
        <v>200.0001689329157</v>
      </c>
      <c r="H125" s="6"/>
      <c r="I125" s="6"/>
    </row>
    <row r="126" spans="1:9" ht="12" customHeight="1">
      <c r="A126" s="68"/>
      <c r="B126" s="4">
        <v>200</v>
      </c>
      <c r="C126" s="5" t="s">
        <v>103</v>
      </c>
      <c r="D126" s="2" t="s">
        <v>100</v>
      </c>
      <c r="E126" s="6">
        <f t="shared" si="14"/>
        <v>30.000025339937352</v>
      </c>
      <c r="F126" s="6">
        <f t="shared" si="14"/>
        <v>6.0000050679874715</v>
      </c>
      <c r="G126" s="6">
        <f t="shared" si="14"/>
        <v>150.00012669968677</v>
      </c>
      <c r="H126" s="6"/>
      <c r="I126" s="6"/>
    </row>
    <row r="127" spans="1:9" ht="12" customHeight="1">
      <c r="A127" s="68"/>
      <c r="B127" s="4">
        <v>300</v>
      </c>
      <c r="C127" s="5" t="s">
        <v>103</v>
      </c>
      <c r="D127" s="2" t="s">
        <v>100</v>
      </c>
      <c r="E127" s="6">
        <f t="shared" si="14"/>
        <v>20.00001689329157</v>
      </c>
      <c r="F127" s="6">
        <f t="shared" si="14"/>
        <v>4.000003378658314</v>
      </c>
      <c r="G127" s="6">
        <f t="shared" si="14"/>
        <v>100.00008446645785</v>
      </c>
      <c r="H127" s="6"/>
      <c r="I127" s="6"/>
    </row>
    <row r="128" spans="1:9" ht="12" customHeight="1">
      <c r="A128" s="68"/>
      <c r="B128" s="4">
        <v>400</v>
      </c>
      <c r="C128" s="5" t="s">
        <v>103</v>
      </c>
      <c r="D128" s="2" t="s">
        <v>100</v>
      </c>
      <c r="E128" s="6">
        <f t="shared" si="14"/>
        <v>15.000012669968676</v>
      </c>
      <c r="F128" s="6">
        <f t="shared" si="14"/>
        <v>3.0000025339937357</v>
      </c>
      <c r="G128" s="6">
        <f t="shared" si="14"/>
        <v>75.00006334984339</v>
      </c>
      <c r="H128" s="6"/>
      <c r="I128" s="6"/>
    </row>
    <row r="129" spans="1:9" ht="12" customHeight="1">
      <c r="A129" s="68"/>
      <c r="B129" s="4">
        <v>500</v>
      </c>
      <c r="C129" s="5" t="s">
        <v>103</v>
      </c>
      <c r="D129" s="2" t="s">
        <v>100</v>
      </c>
      <c r="E129" s="6">
        <f t="shared" si="14"/>
        <v>12.000010135974945</v>
      </c>
      <c r="F129" s="6">
        <f t="shared" si="14"/>
        <v>2.4000020271949887</v>
      </c>
      <c r="G129" s="6">
        <f t="shared" si="14"/>
        <v>60.00005067987471</v>
      </c>
      <c r="H129" s="6"/>
      <c r="I129" s="6"/>
    </row>
    <row r="130" spans="1:9" ht="12" customHeight="1">
      <c r="A130" s="68"/>
      <c r="B130" s="4">
        <v>700</v>
      </c>
      <c r="C130" s="5" t="s">
        <v>103</v>
      </c>
      <c r="D130" s="2" t="s">
        <v>100</v>
      </c>
      <c r="E130" s="6">
        <f t="shared" si="14"/>
        <v>8.571435811410673</v>
      </c>
      <c r="F130" s="6">
        <f t="shared" si="14"/>
        <v>1.7142871622821347</v>
      </c>
      <c r="G130" s="6">
        <f t="shared" si="14"/>
        <v>42.85717905705337</v>
      </c>
      <c r="H130" s="6"/>
      <c r="I130" s="6"/>
    </row>
    <row r="131" spans="1:9" ht="12" customHeight="1">
      <c r="A131" s="68"/>
      <c r="B131" s="4" t="s">
        <v>5</v>
      </c>
      <c r="C131" s="5" t="s">
        <v>103</v>
      </c>
      <c r="D131" s="2" t="s">
        <v>100</v>
      </c>
      <c r="E131" s="6">
        <f t="shared" si="14"/>
        <v>6.000005067987472</v>
      </c>
      <c r="F131" s="6">
        <f t="shared" si="14"/>
        <v>1.2000010135974943</v>
      </c>
      <c r="G131" s="6">
        <f t="shared" si="14"/>
        <v>30.000025339937356</v>
      </c>
      <c r="H131" s="6"/>
      <c r="I131" s="6"/>
    </row>
    <row r="132" spans="1:9" ht="12" customHeight="1">
      <c r="A132" s="68"/>
      <c r="B132" s="4" t="s">
        <v>6</v>
      </c>
      <c r="C132" s="5" t="s">
        <v>103</v>
      </c>
      <c r="D132" s="2" t="s">
        <v>100</v>
      </c>
      <c r="E132" s="6">
        <f t="shared" si="14"/>
        <v>4.000003378658314</v>
      </c>
      <c r="F132" s="6">
        <f t="shared" si="14"/>
        <v>0.8000006757316627</v>
      </c>
      <c r="G132" s="6">
        <f t="shared" si="14"/>
        <v>20.00001689329157</v>
      </c>
      <c r="H132" s="6"/>
      <c r="I132" s="6"/>
    </row>
    <row r="133" spans="1:9" ht="12" customHeight="1">
      <c r="A133" s="68"/>
      <c r="B133" s="4" t="s">
        <v>7</v>
      </c>
      <c r="C133" s="5" t="s">
        <v>103</v>
      </c>
      <c r="D133" s="2" t="s">
        <v>100</v>
      </c>
      <c r="E133" s="6">
        <f t="shared" si="14"/>
        <v>3.000002533993736</v>
      </c>
      <c r="F133" s="6">
        <f t="shared" si="14"/>
        <v>0.6000005067987472</v>
      </c>
      <c r="G133" s="6">
        <f t="shared" si="14"/>
        <v>15.000012669968678</v>
      </c>
      <c r="H133" s="6"/>
      <c r="I133" s="6"/>
    </row>
    <row r="134" spans="1:9" ht="12" customHeight="1">
      <c r="A134" s="68"/>
      <c r="B134" s="4" t="s">
        <v>8</v>
      </c>
      <c r="C134" s="5" t="s">
        <v>103</v>
      </c>
      <c r="D134" s="2" t="s">
        <v>100</v>
      </c>
      <c r="E134" s="6">
        <f t="shared" si="14"/>
        <v>2.000001689329157</v>
      </c>
      <c r="F134" s="6">
        <f t="shared" si="14"/>
        <v>0.40000033786583133</v>
      </c>
      <c r="G134" s="6">
        <f t="shared" si="14"/>
        <v>10.000008446645785</v>
      </c>
      <c r="H134" s="6"/>
      <c r="I134" s="6"/>
    </row>
    <row r="135" spans="1:9" ht="12" customHeight="1">
      <c r="A135" s="68"/>
      <c r="B135" s="4" t="s">
        <v>9</v>
      </c>
      <c r="C135" s="5" t="s">
        <v>103</v>
      </c>
      <c r="D135" s="2" t="s">
        <v>100</v>
      </c>
      <c r="E135" s="6">
        <f t="shared" si="14"/>
        <v>1.500001266996868</v>
      </c>
      <c r="F135" s="6">
        <f t="shared" si="14"/>
        <v>0.3000002533993736</v>
      </c>
      <c r="G135" s="6">
        <f t="shared" si="14"/>
        <v>7.500006334984339</v>
      </c>
      <c r="H135" s="6"/>
      <c r="I135" s="6"/>
    </row>
    <row r="136" spans="1:9" ht="12" customHeight="1">
      <c r="A136" s="68"/>
      <c r="B136" s="4" t="s">
        <v>10</v>
      </c>
      <c r="C136" s="5" t="s">
        <v>103</v>
      </c>
      <c r="D136" s="2" t="s">
        <v>100</v>
      </c>
      <c r="E136" s="6">
        <f t="shared" si="14"/>
        <v>1.2000010135974943</v>
      </c>
      <c r="F136" s="6">
        <f t="shared" si="14"/>
        <v>0.24000020271949887</v>
      </c>
      <c r="G136" s="6">
        <f t="shared" si="14"/>
        <v>6.000005067987472</v>
      </c>
      <c r="H136" s="6"/>
      <c r="I136" s="6"/>
    </row>
    <row r="137" spans="1:9" ht="12" customHeight="1">
      <c r="A137" s="68"/>
      <c r="B137" s="4" t="s">
        <v>11</v>
      </c>
      <c r="C137" s="5" t="s">
        <v>103</v>
      </c>
      <c r="D137" s="2" t="s">
        <v>100</v>
      </c>
      <c r="E137" s="6">
        <f t="shared" si="14"/>
        <v>0.8571435811410674</v>
      </c>
      <c r="F137" s="6">
        <f t="shared" si="14"/>
        <v>0.17142871622821346</v>
      </c>
      <c r="G137" s="6">
        <f t="shared" si="14"/>
        <v>4.2857179057053365</v>
      </c>
      <c r="H137" s="6"/>
      <c r="I137" s="6"/>
    </row>
    <row r="138" spans="1:9" ht="12" customHeight="1">
      <c r="A138" s="68"/>
      <c r="B138" s="4" t="s">
        <v>12</v>
      </c>
      <c r="C138" s="5" t="s">
        <v>103</v>
      </c>
      <c r="D138" s="2" t="s">
        <v>100</v>
      </c>
      <c r="E138" s="6">
        <f t="shared" si="14"/>
        <v>0.6000005067987472</v>
      </c>
      <c r="F138" s="6">
        <f t="shared" si="14"/>
        <v>0.12000010135974944</v>
      </c>
      <c r="G138" s="6">
        <f t="shared" si="14"/>
        <v>3.000002533993736</v>
      </c>
      <c r="H138" s="6"/>
      <c r="I138" s="6"/>
    </row>
    <row r="139" spans="1:9" ht="12" customHeight="1">
      <c r="A139" s="68"/>
      <c r="B139" s="4" t="s">
        <v>13</v>
      </c>
      <c r="C139" s="5" t="s">
        <v>103</v>
      </c>
      <c r="D139" s="2" t="s">
        <v>100</v>
      </c>
      <c r="E139" s="6">
        <f t="shared" si="14"/>
        <v>0.40000033786583133</v>
      </c>
      <c r="F139" s="6">
        <f t="shared" si="14"/>
        <v>0.08000006757316627</v>
      </c>
      <c r="G139" s="6">
        <f t="shared" si="14"/>
        <v>2.000001689329157</v>
      </c>
      <c r="H139" s="6"/>
      <c r="I139" s="6"/>
    </row>
    <row r="140" spans="1:9" ht="12" customHeight="1">
      <c r="A140" s="69"/>
      <c r="B140" s="4" t="s">
        <v>14</v>
      </c>
      <c r="C140" s="5" t="s">
        <v>103</v>
      </c>
      <c r="D140" s="2" t="s">
        <v>100</v>
      </c>
      <c r="E140" s="6">
        <f t="shared" si="14"/>
        <v>0.3000002533993736</v>
      </c>
      <c r="F140" s="6">
        <f t="shared" si="14"/>
        <v>0.06000005067987472</v>
      </c>
      <c r="G140" s="6">
        <f t="shared" si="14"/>
        <v>1.500001266996868</v>
      </c>
      <c r="H140" s="6"/>
      <c r="I140" s="6"/>
    </row>
    <row r="141" spans="1:9" ht="12" customHeight="1">
      <c r="A141" s="67" t="s">
        <v>132</v>
      </c>
      <c r="B141" s="4">
        <v>20</v>
      </c>
      <c r="C141" s="5" t="s">
        <v>103</v>
      </c>
      <c r="D141" s="52" t="s">
        <v>99</v>
      </c>
      <c r="E141" s="40">
        <f>(F141*(1-F163*E97)+F141*F163*E97)/((1-F163*E97)^2+F141^2*E97^2)</f>
        <v>0.16660002676853605</v>
      </c>
      <c r="F141" s="37">
        <f aca="true" t="shared" si="15" ref="F141:F162">E$28/(E$28^2+F97^2)+F$28/(F$28^2+F119^2)</f>
        <v>0.16666666666666669</v>
      </c>
      <c r="G141" s="37">
        <f aca="true" t="shared" si="16" ref="G141:G162">G$28/(G$28^2+G97^2)+H$28/(H$28^2+G119^2)</f>
        <v>0.16666666666666666</v>
      </c>
      <c r="H141" s="37">
        <f>(G141*(1+G163*E119)-G141*G163*E119)/((1+G163*E119)^2+G141^2*E119^2)</f>
        <v>6.663989813064394E-05</v>
      </c>
      <c r="I141" s="37">
        <f>E141+H141</f>
        <v>0.16666666666666669</v>
      </c>
    </row>
    <row r="142" spans="1:9" ht="12" customHeight="1">
      <c r="A142" s="68"/>
      <c r="B142" s="4">
        <v>30</v>
      </c>
      <c r="C142" s="5" t="s">
        <v>103</v>
      </c>
      <c r="D142" s="52" t="s">
        <v>99</v>
      </c>
      <c r="E142" s="40">
        <f aca="true" t="shared" si="17" ref="E142:E162">(F142*(1-F164*E98)+F142*F164*E98)/((1-F164*E98)^2+F142^2*E98^2)</f>
        <v>0.16651680179821945</v>
      </c>
      <c r="F142" s="37">
        <f t="shared" si="15"/>
        <v>0.16666666666666666</v>
      </c>
      <c r="G142" s="37">
        <f t="shared" si="16"/>
        <v>0.16666666666666669</v>
      </c>
      <c r="H142" s="37">
        <f aca="true" t="shared" si="18" ref="H142:H162">(G142*(1+G164*E120)-G142*G164*E120)/((1+G164*E120)^2+G142^2*E120^2)</f>
        <v>0.00014986486844719872</v>
      </c>
      <c r="I142" s="37">
        <f aca="true" t="shared" si="19" ref="I142:I163">E142+H142</f>
        <v>0.16666666666666666</v>
      </c>
    </row>
    <row r="143" spans="1:9" ht="12" customHeight="1">
      <c r="A143" s="68"/>
      <c r="B143" s="4">
        <v>40</v>
      </c>
      <c r="C143" s="5" t="s">
        <v>103</v>
      </c>
      <c r="D143" s="52" t="s">
        <v>99</v>
      </c>
      <c r="E143" s="40">
        <f t="shared" si="17"/>
        <v>0.16640042643413963</v>
      </c>
      <c r="F143" s="37">
        <f t="shared" si="15"/>
        <v>0.16666666666666669</v>
      </c>
      <c r="G143" s="37">
        <f t="shared" si="16"/>
        <v>0.16666666666666666</v>
      </c>
      <c r="H143" s="37">
        <f t="shared" si="18"/>
        <v>0.0002662402325270459</v>
      </c>
      <c r="I143" s="37">
        <f t="shared" si="19"/>
        <v>0.16666666666666669</v>
      </c>
    </row>
    <row r="144" spans="1:9" ht="12" customHeight="1">
      <c r="A144" s="68"/>
      <c r="B144" s="4">
        <v>50</v>
      </c>
      <c r="C144" s="5" t="s">
        <v>103</v>
      </c>
      <c r="D144" s="52" t="s">
        <v>99</v>
      </c>
      <c r="E144" s="40">
        <f t="shared" si="17"/>
        <v>0.16625103976937416</v>
      </c>
      <c r="F144" s="37">
        <f t="shared" si="15"/>
        <v>0.16666666666666666</v>
      </c>
      <c r="G144" s="37">
        <f t="shared" si="16"/>
        <v>0.16666666666666669</v>
      </c>
      <c r="H144" s="37">
        <f t="shared" si="18"/>
        <v>0.0004156268972925029</v>
      </c>
      <c r="I144" s="37">
        <f t="shared" si="19"/>
        <v>0.16666666666666666</v>
      </c>
    </row>
    <row r="145" spans="1:9" ht="12" customHeight="1">
      <c r="A145" s="68"/>
      <c r="B145" s="4">
        <v>70</v>
      </c>
      <c r="C145" s="5" t="s">
        <v>103</v>
      </c>
      <c r="D145" s="52" t="s">
        <v>99</v>
      </c>
      <c r="E145" s="40">
        <f t="shared" si="17"/>
        <v>0.16585398352030706</v>
      </c>
      <c r="F145" s="37">
        <f t="shared" si="15"/>
        <v>0.16666666666666666</v>
      </c>
      <c r="G145" s="37">
        <f t="shared" si="16"/>
        <v>0.16666666666666666</v>
      </c>
      <c r="H145" s="37">
        <f t="shared" si="18"/>
        <v>0.0008126831463595901</v>
      </c>
      <c r="I145" s="37">
        <f t="shared" si="19"/>
        <v>0.16666666666666666</v>
      </c>
    </row>
    <row r="146" spans="1:9" ht="12" customHeight="1">
      <c r="A146" s="68"/>
      <c r="B146" s="4">
        <v>100</v>
      </c>
      <c r="C146" s="5" t="s">
        <v>103</v>
      </c>
      <c r="D146" s="52" t="s">
        <v>99</v>
      </c>
      <c r="E146" s="40">
        <f t="shared" si="17"/>
        <v>0.16501650441023272</v>
      </c>
      <c r="F146" s="37">
        <f t="shared" si="15"/>
        <v>0.16666666666666666</v>
      </c>
      <c r="G146" s="37">
        <f t="shared" si="16"/>
        <v>0.16666666666666666</v>
      </c>
      <c r="H146" s="37">
        <f t="shared" si="18"/>
        <v>0.0016501622564339367</v>
      </c>
      <c r="I146" s="37">
        <f t="shared" si="19"/>
        <v>0.16666666666666666</v>
      </c>
    </row>
    <row r="147" spans="1:9" ht="12" customHeight="1">
      <c r="A147" s="68"/>
      <c r="B147" s="4">
        <v>150</v>
      </c>
      <c r="C147" s="5" t="s">
        <v>103</v>
      </c>
      <c r="D147" s="52" t="s">
        <v>99</v>
      </c>
      <c r="E147" s="40">
        <f t="shared" si="17"/>
        <v>0.16299919106331812</v>
      </c>
      <c r="F147" s="37">
        <f t="shared" si="15"/>
        <v>0.16666666666666669</v>
      </c>
      <c r="G147" s="37">
        <f t="shared" si="16"/>
        <v>0.16666666666666669</v>
      </c>
      <c r="H147" s="37">
        <f t="shared" si="18"/>
        <v>0.0036674756033485715</v>
      </c>
      <c r="I147" s="37">
        <f t="shared" si="19"/>
        <v>0.16666666666666669</v>
      </c>
    </row>
    <row r="148" spans="1:9" ht="12" customHeight="1">
      <c r="A148" s="68"/>
      <c r="B148" s="4">
        <v>200</v>
      </c>
      <c r="C148" s="5" t="s">
        <v>103</v>
      </c>
      <c r="D148" s="52" t="s">
        <v>99</v>
      </c>
      <c r="E148" s="40">
        <f t="shared" si="17"/>
        <v>0.16025642066892953</v>
      </c>
      <c r="F148" s="37">
        <f t="shared" si="15"/>
        <v>0.16666666666666669</v>
      </c>
      <c r="G148" s="37">
        <f t="shared" si="16"/>
        <v>0.16666666666666669</v>
      </c>
      <c r="H148" s="37">
        <f t="shared" si="18"/>
        <v>0.0064102459977371405</v>
      </c>
      <c r="I148" s="37">
        <f t="shared" si="19"/>
        <v>0.16666666666666669</v>
      </c>
    </row>
    <row r="149" spans="1:9" ht="12" customHeight="1">
      <c r="A149" s="68"/>
      <c r="B149" s="4">
        <v>300</v>
      </c>
      <c r="C149" s="5" t="s">
        <v>103</v>
      </c>
      <c r="D149" s="52" t="s">
        <v>99</v>
      </c>
      <c r="E149" s="40">
        <f t="shared" si="17"/>
        <v>0.15290522010485263</v>
      </c>
      <c r="F149" s="37">
        <f t="shared" si="15"/>
        <v>0.16666666666666666</v>
      </c>
      <c r="G149" s="37">
        <f t="shared" si="16"/>
        <v>0.16666666666666666</v>
      </c>
      <c r="H149" s="37">
        <f t="shared" si="18"/>
        <v>0.013761446561814003</v>
      </c>
      <c r="I149" s="37">
        <f t="shared" si="19"/>
        <v>0.16666666666666663</v>
      </c>
    </row>
    <row r="150" spans="1:9" ht="12" customHeight="1">
      <c r="A150" s="68"/>
      <c r="B150" s="4">
        <v>400</v>
      </c>
      <c r="C150" s="5" t="s">
        <v>103</v>
      </c>
      <c r="D150" s="52" t="s">
        <v>99</v>
      </c>
      <c r="E150" s="40">
        <f t="shared" si="17"/>
        <v>0.14367819439808582</v>
      </c>
      <c r="F150" s="37">
        <f t="shared" si="15"/>
        <v>0.16666666666666669</v>
      </c>
      <c r="G150" s="37">
        <f t="shared" si="16"/>
        <v>0.16666666666666669</v>
      </c>
      <c r="H150" s="37">
        <f t="shared" si="18"/>
        <v>0.02298847226858085</v>
      </c>
      <c r="I150" s="37">
        <f t="shared" si="19"/>
        <v>0.16666666666666669</v>
      </c>
    </row>
    <row r="151" spans="1:9" ht="12" customHeight="1">
      <c r="A151" s="68"/>
      <c r="B151" s="4">
        <v>500</v>
      </c>
      <c r="C151" s="5" t="s">
        <v>103</v>
      </c>
      <c r="D151" s="52" t="s">
        <v>99</v>
      </c>
      <c r="E151" s="40">
        <f t="shared" si="17"/>
        <v>0.133333378382069</v>
      </c>
      <c r="F151" s="37">
        <f t="shared" si="15"/>
        <v>0.16666666666666666</v>
      </c>
      <c r="G151" s="37">
        <f t="shared" si="16"/>
        <v>0.16666666666666669</v>
      </c>
      <c r="H151" s="37">
        <f t="shared" si="18"/>
        <v>0.033333288284597654</v>
      </c>
      <c r="I151" s="37">
        <f t="shared" si="19"/>
        <v>0.16666666666666663</v>
      </c>
    </row>
    <row r="152" spans="1:9" ht="12" customHeight="1">
      <c r="A152" s="68"/>
      <c r="B152" s="4">
        <v>700</v>
      </c>
      <c r="C152" s="5" t="s">
        <v>103</v>
      </c>
      <c r="D152" s="52" t="s">
        <v>99</v>
      </c>
      <c r="E152" s="40">
        <f t="shared" si="17"/>
        <v>0.11185688540836732</v>
      </c>
      <c r="F152" s="37">
        <f t="shared" si="15"/>
        <v>0.16666666666666666</v>
      </c>
      <c r="G152" s="37">
        <f t="shared" si="16"/>
        <v>0.16666666666666669</v>
      </c>
      <c r="H152" s="37">
        <f t="shared" si="18"/>
        <v>0.05480978125829933</v>
      </c>
      <c r="I152" s="37">
        <f t="shared" si="19"/>
        <v>0.16666666666666663</v>
      </c>
    </row>
    <row r="153" spans="1:9" ht="12" customHeight="1">
      <c r="A153" s="68"/>
      <c r="B153" s="4" t="s">
        <v>5</v>
      </c>
      <c r="C153" s="5" t="s">
        <v>103</v>
      </c>
      <c r="D153" s="52" t="s">
        <v>99</v>
      </c>
      <c r="E153" s="40">
        <f t="shared" si="17"/>
        <v>0.08333340372201847</v>
      </c>
      <c r="F153" s="37">
        <f t="shared" si="15"/>
        <v>0.16666666666666666</v>
      </c>
      <c r="G153" s="37">
        <f t="shared" si="16"/>
        <v>0.16666666666666669</v>
      </c>
      <c r="H153" s="37">
        <f t="shared" si="18"/>
        <v>0.08333326294464817</v>
      </c>
      <c r="I153" s="37">
        <f t="shared" si="19"/>
        <v>0.16666666666666663</v>
      </c>
    </row>
    <row r="154" spans="1:9" ht="12" customHeight="1">
      <c r="A154" s="68"/>
      <c r="B154" s="4" t="s">
        <v>6</v>
      </c>
      <c r="C154" s="5" t="s">
        <v>103</v>
      </c>
      <c r="D154" s="52" t="s">
        <v>99</v>
      </c>
      <c r="E154" s="40">
        <f t="shared" si="17"/>
        <v>0.05128211125822852</v>
      </c>
      <c r="F154" s="37">
        <f t="shared" si="15"/>
        <v>0.16666666666666669</v>
      </c>
      <c r="G154" s="37">
        <f t="shared" si="16"/>
        <v>0.16666666666666666</v>
      </c>
      <c r="H154" s="37">
        <f t="shared" si="18"/>
        <v>0.11538455540843813</v>
      </c>
      <c r="I154" s="37">
        <f t="shared" si="19"/>
        <v>0.16666666666666666</v>
      </c>
    </row>
    <row r="155" spans="1:9" ht="12" customHeight="1">
      <c r="A155" s="68"/>
      <c r="B155" s="4" t="s">
        <v>7</v>
      </c>
      <c r="C155" s="5" t="s">
        <v>103</v>
      </c>
      <c r="D155" s="52" t="s">
        <v>99</v>
      </c>
      <c r="E155" s="40">
        <f t="shared" si="17"/>
        <v>0.033333378382114656</v>
      </c>
      <c r="F155" s="37">
        <f t="shared" si="15"/>
        <v>0.16666666666666663</v>
      </c>
      <c r="G155" s="37">
        <f t="shared" si="16"/>
        <v>0.16666666666666669</v>
      </c>
      <c r="H155" s="37">
        <f t="shared" si="18"/>
        <v>0.13333328828455202</v>
      </c>
      <c r="I155" s="37">
        <f t="shared" si="19"/>
        <v>0.16666666666666669</v>
      </c>
    </row>
    <row r="156" spans="1:9" ht="12" customHeight="1">
      <c r="A156" s="68"/>
      <c r="B156" s="4" t="s">
        <v>8</v>
      </c>
      <c r="C156" s="5" t="s">
        <v>103</v>
      </c>
      <c r="D156" s="52" t="s">
        <v>99</v>
      </c>
      <c r="E156" s="40">
        <f t="shared" si="17"/>
        <v>0.016666692006610438</v>
      </c>
      <c r="F156" s="37">
        <f t="shared" si="15"/>
        <v>0.16666666666666669</v>
      </c>
      <c r="G156" s="37">
        <f t="shared" si="16"/>
        <v>0.16666666666666669</v>
      </c>
      <c r="H156" s="37">
        <f t="shared" si="18"/>
        <v>0.14999997466005624</v>
      </c>
      <c r="I156" s="37">
        <f t="shared" si="19"/>
        <v>0.16666666666666669</v>
      </c>
    </row>
    <row r="157" spans="1:9" ht="12" customHeight="1">
      <c r="A157" s="68"/>
      <c r="B157" s="4" t="s">
        <v>9</v>
      </c>
      <c r="C157" s="5" t="s">
        <v>103</v>
      </c>
      <c r="D157" s="52" t="s">
        <v>99</v>
      </c>
      <c r="E157" s="40">
        <f t="shared" si="17"/>
        <v>0.009803937156444776</v>
      </c>
      <c r="F157" s="37">
        <f t="shared" si="15"/>
        <v>0.16666666666666669</v>
      </c>
      <c r="G157" s="37">
        <f t="shared" si="16"/>
        <v>0.1666666666666667</v>
      </c>
      <c r="H157" s="37">
        <f t="shared" si="18"/>
        <v>0.15686272951022193</v>
      </c>
      <c r="I157" s="37">
        <f t="shared" si="19"/>
        <v>0.1666666666666667</v>
      </c>
    </row>
    <row r="158" spans="1:9" ht="12" customHeight="1">
      <c r="A158" s="68"/>
      <c r="B158" s="4" t="s">
        <v>10</v>
      </c>
      <c r="C158" s="5" t="s">
        <v>103</v>
      </c>
      <c r="D158" s="52" t="s">
        <v>99</v>
      </c>
      <c r="E158" s="40">
        <f t="shared" si="17"/>
        <v>0.006410266822791917</v>
      </c>
      <c r="F158" s="37">
        <f t="shared" si="15"/>
        <v>0.16666666666666666</v>
      </c>
      <c r="G158" s="37">
        <f t="shared" si="16"/>
        <v>0.16666666666666669</v>
      </c>
      <c r="H158" s="37">
        <f t="shared" si="18"/>
        <v>0.16025639984387477</v>
      </c>
      <c r="I158" s="37">
        <f t="shared" si="19"/>
        <v>0.16666666666666669</v>
      </c>
    </row>
    <row r="159" spans="1:9" ht="12" customHeight="1">
      <c r="A159" s="68"/>
      <c r="B159" s="4" t="s">
        <v>11</v>
      </c>
      <c r="C159" s="5" t="s">
        <v>103</v>
      </c>
      <c r="D159" s="52" t="s">
        <v>99</v>
      </c>
      <c r="E159" s="40">
        <f t="shared" si="17"/>
        <v>0.003333338851810724</v>
      </c>
      <c r="F159" s="37">
        <f t="shared" si="15"/>
        <v>0.16666666666666663</v>
      </c>
      <c r="G159" s="37">
        <f t="shared" si="16"/>
        <v>0.16666666666666669</v>
      </c>
      <c r="H159" s="37">
        <f t="shared" si="18"/>
        <v>0.16333332781485596</v>
      </c>
      <c r="I159" s="37">
        <f t="shared" si="19"/>
        <v>0.16666666666666669</v>
      </c>
    </row>
    <row r="160" spans="1:9" ht="12" customHeight="1">
      <c r="A160" s="68"/>
      <c r="B160" s="4" t="s">
        <v>12</v>
      </c>
      <c r="C160" s="5" t="s">
        <v>103</v>
      </c>
      <c r="D160" s="52" t="s">
        <v>99</v>
      </c>
      <c r="E160" s="40">
        <f t="shared" si="17"/>
        <v>0.0016501677765739338</v>
      </c>
      <c r="F160" s="37">
        <f t="shared" si="15"/>
        <v>0.16666666666666669</v>
      </c>
      <c r="G160" s="37">
        <f t="shared" si="16"/>
        <v>0.16666666666666669</v>
      </c>
      <c r="H160" s="37">
        <f t="shared" si="18"/>
        <v>0.16501649889009273</v>
      </c>
      <c r="I160" s="37">
        <f t="shared" si="19"/>
        <v>0.16666666666666666</v>
      </c>
    </row>
    <row r="161" spans="1:9" ht="12" customHeight="1">
      <c r="A161" s="68"/>
      <c r="B161" s="4" t="s">
        <v>13</v>
      </c>
      <c r="C161" s="5" t="s">
        <v>103</v>
      </c>
      <c r="D161" s="52" t="s">
        <v>99</v>
      </c>
      <c r="E161" s="40">
        <f t="shared" si="17"/>
        <v>0.0007374643671496657</v>
      </c>
      <c r="F161" s="37">
        <f t="shared" si="15"/>
        <v>0.16666666666666669</v>
      </c>
      <c r="G161" s="37">
        <f t="shared" si="16"/>
        <v>0.16666666666666666</v>
      </c>
      <c r="H161" s="37">
        <f t="shared" si="18"/>
        <v>0.165929202299517</v>
      </c>
      <c r="I161" s="37">
        <f t="shared" si="19"/>
        <v>0.16666666666666666</v>
      </c>
    </row>
    <row r="162" spans="1:9" ht="12" customHeight="1">
      <c r="A162" s="69"/>
      <c r="B162" s="4" t="s">
        <v>14</v>
      </c>
      <c r="C162" s="5" t="s">
        <v>103</v>
      </c>
      <c r="D162" s="52" t="s">
        <v>99</v>
      </c>
      <c r="E162" s="40">
        <f t="shared" si="17"/>
        <v>0.00041562829805364527</v>
      </c>
      <c r="F162" s="37">
        <f t="shared" si="15"/>
        <v>0.16666666666666666</v>
      </c>
      <c r="G162" s="37">
        <f t="shared" si="16"/>
        <v>0.16666666666666666</v>
      </c>
      <c r="H162" s="37">
        <f t="shared" si="18"/>
        <v>0.166251038368613</v>
      </c>
      <c r="I162" s="37">
        <f t="shared" si="19"/>
        <v>0.16666666666666663</v>
      </c>
    </row>
    <row r="163" spans="1:9" ht="12" customHeight="1">
      <c r="A163" s="67" t="s">
        <v>133</v>
      </c>
      <c r="B163" s="4">
        <v>20</v>
      </c>
      <c r="C163" s="5" t="s">
        <v>103</v>
      </c>
      <c r="D163" s="52" t="s">
        <v>99</v>
      </c>
      <c r="E163" s="40">
        <f>((-1)*F141^2*E97+(1-F163*E97)*F163)/((1-F163*E97)^2+F141^2*E97^2)</f>
        <v>-0.003331997720950271</v>
      </c>
      <c r="F163" s="37">
        <f aca="true" t="shared" si="20" ref="F163:F184">(-1)*F97/(E$28^2+F97^2)+F119/(F$28^2+F119^2)</f>
        <v>0</v>
      </c>
      <c r="G163" s="37">
        <f aca="true" t="shared" si="21" ref="G163:G184">(-1)*G97/(G$28^2+G97^2)+G119/(H$28^2+G119^2)</f>
        <v>0</v>
      </c>
      <c r="H163" s="37">
        <f>(G141^2*E119+(1-G163*E119)*G163)/((1-G163*E119)^2+G141^2*E119^2)</f>
        <v>0.0033319977209502697</v>
      </c>
      <c r="I163" s="37">
        <f t="shared" si="19"/>
        <v>0</v>
      </c>
    </row>
    <row r="164" spans="1:9" ht="12" customHeight="1">
      <c r="A164" s="68"/>
      <c r="B164" s="4">
        <v>30</v>
      </c>
      <c r="C164" s="5" t="s">
        <v>103</v>
      </c>
      <c r="D164" s="52" t="s">
        <v>99</v>
      </c>
      <c r="E164" s="40">
        <f aca="true" t="shared" si="22" ref="E164:E184">((-1)*F142^2*E98+(1-F164*E98)*F164)/((1-F164*E98)^2+F142^2*E98^2)</f>
        <v>-0.004995499834424822</v>
      </c>
      <c r="F164" s="37">
        <f t="shared" si="20"/>
        <v>0</v>
      </c>
      <c r="G164" s="37">
        <f t="shared" si="21"/>
        <v>0</v>
      </c>
      <c r="H164" s="37">
        <f aca="true" t="shared" si="23" ref="H164:H184">(G142^2*E120+(1-G164*E120)*G164)/((1-G164*E120)^2+G142^2*E120^2)</f>
        <v>0.004995499834424822</v>
      </c>
      <c r="I164" s="37">
        <f aca="true" t="shared" si="24" ref="I164:I184">E164+H164</f>
        <v>0</v>
      </c>
    </row>
    <row r="165" spans="1:9" ht="12" customHeight="1">
      <c r="A165" s="68"/>
      <c r="B165" s="4">
        <v>40</v>
      </c>
      <c r="C165" s="5" t="s">
        <v>103</v>
      </c>
      <c r="D165" s="52" t="s">
        <v>99</v>
      </c>
      <c r="E165" s="40">
        <f t="shared" si="22"/>
        <v>-0.006656011435268493</v>
      </c>
      <c r="F165" s="37">
        <f t="shared" si="20"/>
        <v>0</v>
      </c>
      <c r="G165" s="37">
        <f t="shared" si="21"/>
        <v>0</v>
      </c>
      <c r="H165" s="37">
        <f t="shared" si="23"/>
        <v>0.006656011435268491</v>
      </c>
      <c r="I165" s="37">
        <f t="shared" si="24"/>
        <v>0</v>
      </c>
    </row>
    <row r="166" spans="1:9" ht="12" customHeight="1">
      <c r="A166" s="68"/>
      <c r="B166" s="4">
        <v>50</v>
      </c>
      <c r="C166" s="5" t="s">
        <v>103</v>
      </c>
      <c r="D166" s="52" t="s">
        <v>99</v>
      </c>
      <c r="E166" s="40">
        <f t="shared" si="22"/>
        <v>-0.008312544967156419</v>
      </c>
      <c r="F166" s="37">
        <f t="shared" si="20"/>
        <v>0</v>
      </c>
      <c r="G166" s="37">
        <f t="shared" si="21"/>
        <v>0</v>
      </c>
      <c r="H166" s="37">
        <f t="shared" si="23"/>
        <v>0.008312544967156417</v>
      </c>
      <c r="I166" s="37">
        <f t="shared" si="24"/>
        <v>0</v>
      </c>
    </row>
    <row r="167" spans="1:9" ht="12" customHeight="1">
      <c r="A167" s="68"/>
      <c r="B167" s="4">
        <v>70</v>
      </c>
      <c r="C167" s="5" t="s">
        <v>103</v>
      </c>
      <c r="D167" s="52" t="s">
        <v>99</v>
      </c>
      <c r="E167" s="40">
        <f t="shared" si="22"/>
        <v>-0.011609769040060822</v>
      </c>
      <c r="F167" s="37">
        <f t="shared" si="20"/>
        <v>0</v>
      </c>
      <c r="G167" s="37">
        <f t="shared" si="21"/>
        <v>0</v>
      </c>
      <c r="H167" s="37">
        <f t="shared" si="23"/>
        <v>0.01160976904006082</v>
      </c>
      <c r="I167" s="37">
        <f t="shared" si="24"/>
        <v>0</v>
      </c>
    </row>
    <row r="168" spans="1:9" ht="12" customHeight="1">
      <c r="A168" s="68"/>
      <c r="B168" s="4">
        <v>100</v>
      </c>
      <c r="C168" s="5" t="s">
        <v>103</v>
      </c>
      <c r="D168" s="52" t="s">
        <v>99</v>
      </c>
      <c r="E168" s="40">
        <f t="shared" si="22"/>
        <v>-0.016501636502675433</v>
      </c>
      <c r="F168" s="37">
        <f t="shared" si="20"/>
        <v>0</v>
      </c>
      <c r="G168" s="37">
        <f t="shared" si="21"/>
        <v>0</v>
      </c>
      <c r="H168" s="37">
        <f t="shared" si="23"/>
        <v>0.016501636502675433</v>
      </c>
      <c r="I168" s="37">
        <f t="shared" si="24"/>
        <v>0</v>
      </c>
    </row>
    <row r="169" spans="1:9" ht="12" customHeight="1">
      <c r="A169" s="68"/>
      <c r="B169" s="4">
        <v>150</v>
      </c>
      <c r="C169" s="5" t="s">
        <v>103</v>
      </c>
      <c r="D169" s="52" t="s">
        <v>99</v>
      </c>
      <c r="E169" s="40">
        <f t="shared" si="22"/>
        <v>-0.024449858007568714</v>
      </c>
      <c r="F169" s="37">
        <f t="shared" si="20"/>
        <v>0</v>
      </c>
      <c r="G169" s="37">
        <f t="shared" si="21"/>
        <v>0</v>
      </c>
      <c r="H169" s="37">
        <f t="shared" si="23"/>
        <v>0.02444985800756871</v>
      </c>
      <c r="I169" s="37">
        <f t="shared" si="24"/>
        <v>0</v>
      </c>
    </row>
    <row r="170" spans="1:9" ht="12" customHeight="1">
      <c r="A170" s="68"/>
      <c r="B170" s="4">
        <v>200</v>
      </c>
      <c r="C170" s="5" t="s">
        <v>103</v>
      </c>
      <c r="D170" s="52" t="s">
        <v>99</v>
      </c>
      <c r="E170" s="40">
        <f t="shared" si="22"/>
        <v>-0.03205125706122438</v>
      </c>
      <c r="F170" s="37">
        <f t="shared" si="20"/>
        <v>0</v>
      </c>
      <c r="G170" s="37">
        <f t="shared" si="21"/>
        <v>0</v>
      </c>
      <c r="H170" s="37">
        <f t="shared" si="23"/>
        <v>0.03205125706122437</v>
      </c>
      <c r="I170" s="37">
        <f t="shared" si="24"/>
        <v>0</v>
      </c>
    </row>
    <row r="171" spans="1:9" ht="12" customHeight="1">
      <c r="A171" s="68"/>
      <c r="B171" s="4">
        <v>300</v>
      </c>
      <c r="C171" s="5" t="s">
        <v>103</v>
      </c>
      <c r="D171" s="52" t="s">
        <v>99</v>
      </c>
      <c r="E171" s="40">
        <f t="shared" si="22"/>
        <v>-0.04587152728540154</v>
      </c>
      <c r="F171" s="37">
        <f t="shared" si="20"/>
        <v>0</v>
      </c>
      <c r="G171" s="37">
        <f t="shared" si="21"/>
        <v>0</v>
      </c>
      <c r="H171" s="37">
        <f t="shared" si="23"/>
        <v>0.04587152728540154</v>
      </c>
      <c r="I171" s="37">
        <f t="shared" si="24"/>
        <v>0</v>
      </c>
    </row>
    <row r="172" spans="1:9" ht="12" customHeight="1">
      <c r="A172" s="68"/>
      <c r="B172" s="4">
        <v>400</v>
      </c>
      <c r="C172" s="5" t="s">
        <v>103</v>
      </c>
      <c r="D172" s="52" t="s">
        <v>99</v>
      </c>
      <c r="E172" s="40">
        <f t="shared" si="22"/>
        <v>-0.057471229215322744</v>
      </c>
      <c r="F172" s="37">
        <f t="shared" si="20"/>
        <v>0</v>
      </c>
      <c r="G172" s="37">
        <f t="shared" si="21"/>
        <v>0</v>
      </c>
      <c r="H172" s="37">
        <f t="shared" si="23"/>
        <v>0.05747122921532273</v>
      </c>
      <c r="I172" s="37">
        <f t="shared" si="24"/>
        <v>0</v>
      </c>
    </row>
    <row r="173" spans="1:9" ht="12" customHeight="1">
      <c r="A173" s="68"/>
      <c r="B173" s="4">
        <v>500</v>
      </c>
      <c r="C173" s="5" t="s">
        <v>103</v>
      </c>
      <c r="D173" s="52" t="s">
        <v>99</v>
      </c>
      <c r="E173" s="40">
        <f t="shared" si="22"/>
        <v>-0.06666663288009114</v>
      </c>
      <c r="F173" s="37">
        <f t="shared" si="20"/>
        <v>0</v>
      </c>
      <c r="G173" s="37">
        <f t="shared" si="21"/>
        <v>0</v>
      </c>
      <c r="H173" s="37">
        <f t="shared" si="23"/>
        <v>0.06666663288009113</v>
      </c>
      <c r="I173" s="37">
        <f t="shared" si="24"/>
        <v>0</v>
      </c>
    </row>
    <row r="174" spans="1:9" ht="12" customHeight="1">
      <c r="A174" s="68"/>
      <c r="B174" s="4">
        <v>700</v>
      </c>
      <c r="C174" s="5" t="s">
        <v>103</v>
      </c>
      <c r="D174" s="52" t="s">
        <v>99</v>
      </c>
      <c r="E174" s="40">
        <f t="shared" si="22"/>
        <v>-0.07829975364882871</v>
      </c>
      <c r="F174" s="37">
        <f t="shared" si="20"/>
        <v>0</v>
      </c>
      <c r="G174" s="37">
        <f t="shared" si="21"/>
        <v>0</v>
      </c>
      <c r="H174" s="37">
        <f t="shared" si="23"/>
        <v>0.07829975364882874</v>
      </c>
      <c r="I174" s="37">
        <f t="shared" si="24"/>
        <v>0</v>
      </c>
    </row>
    <row r="175" spans="1:9" ht="12" customHeight="1">
      <c r="A175" s="68"/>
      <c r="B175" s="4" t="s">
        <v>5</v>
      </c>
      <c r="C175" s="5" t="s">
        <v>103</v>
      </c>
      <c r="D175" s="52" t="s">
        <v>99</v>
      </c>
      <c r="E175" s="40">
        <f t="shared" si="22"/>
        <v>-0.0833333333333036</v>
      </c>
      <c r="F175" s="37">
        <f t="shared" si="20"/>
        <v>0</v>
      </c>
      <c r="G175" s="37">
        <f t="shared" si="21"/>
        <v>0</v>
      </c>
      <c r="H175" s="37">
        <f t="shared" si="23"/>
        <v>0.08333333333330362</v>
      </c>
      <c r="I175" s="37">
        <f t="shared" si="24"/>
        <v>0</v>
      </c>
    </row>
    <row r="176" spans="1:9" ht="12" customHeight="1">
      <c r="A176" s="68"/>
      <c r="B176" s="4" t="s">
        <v>6</v>
      </c>
      <c r="C176" s="5" t="s">
        <v>103</v>
      </c>
      <c r="D176" s="52" t="s">
        <v>99</v>
      </c>
      <c r="E176" s="40">
        <f t="shared" si="22"/>
        <v>-0.07692310191312333</v>
      </c>
      <c r="F176" s="37">
        <f t="shared" si="20"/>
        <v>0</v>
      </c>
      <c r="G176" s="37">
        <f t="shared" si="21"/>
        <v>0</v>
      </c>
      <c r="H176" s="37">
        <f t="shared" si="23"/>
        <v>0.07692310191312333</v>
      </c>
      <c r="I176" s="37">
        <f t="shared" si="24"/>
        <v>0</v>
      </c>
    </row>
    <row r="177" spans="1:9" ht="12" customHeight="1">
      <c r="A177" s="68"/>
      <c r="B177" s="4" t="s">
        <v>7</v>
      </c>
      <c r="C177" s="5" t="s">
        <v>103</v>
      </c>
      <c r="D177" s="52" t="s">
        <v>99</v>
      </c>
      <c r="E177" s="40">
        <f t="shared" si="22"/>
        <v>-0.06666670045322887</v>
      </c>
      <c r="F177" s="37">
        <f t="shared" si="20"/>
        <v>0</v>
      </c>
      <c r="G177" s="37">
        <f t="shared" si="21"/>
        <v>0</v>
      </c>
      <c r="H177" s="37">
        <f t="shared" si="23"/>
        <v>0.06666670045322891</v>
      </c>
      <c r="I177" s="37">
        <f t="shared" si="24"/>
        <v>0</v>
      </c>
    </row>
    <row r="178" spans="1:9" ht="12" customHeight="1">
      <c r="A178" s="68"/>
      <c r="B178" s="4" t="s">
        <v>8</v>
      </c>
      <c r="C178" s="5" t="s">
        <v>103</v>
      </c>
      <c r="D178" s="52" t="s">
        <v>99</v>
      </c>
      <c r="E178" s="40">
        <f t="shared" si="22"/>
        <v>-0.05000003378657386</v>
      </c>
      <c r="F178" s="37">
        <f t="shared" si="20"/>
        <v>0</v>
      </c>
      <c r="G178" s="37">
        <f t="shared" si="21"/>
        <v>0</v>
      </c>
      <c r="H178" s="37">
        <f t="shared" si="23"/>
        <v>0.050000033786573875</v>
      </c>
      <c r="I178" s="37">
        <f t="shared" si="24"/>
        <v>0</v>
      </c>
    </row>
    <row r="179" spans="1:9" ht="12" customHeight="1">
      <c r="A179" s="68"/>
      <c r="B179" s="4" t="s">
        <v>9</v>
      </c>
      <c r="C179" s="5" t="s">
        <v>103</v>
      </c>
      <c r="D179" s="52" t="s">
        <v>99</v>
      </c>
      <c r="E179" s="40">
        <f t="shared" si="22"/>
        <v>-0.0392157155016533</v>
      </c>
      <c r="F179" s="37">
        <f t="shared" si="20"/>
        <v>0</v>
      </c>
      <c r="G179" s="37">
        <f t="shared" si="21"/>
        <v>0</v>
      </c>
      <c r="H179" s="37">
        <f t="shared" si="23"/>
        <v>0.03921571550165333</v>
      </c>
      <c r="I179" s="37">
        <f t="shared" si="24"/>
        <v>0</v>
      </c>
    </row>
    <row r="180" spans="1:9" ht="12" customHeight="1">
      <c r="A180" s="68"/>
      <c r="B180" s="4" t="s">
        <v>10</v>
      </c>
      <c r="C180" s="5" t="s">
        <v>103</v>
      </c>
      <c r="D180" s="52" t="s">
        <v>99</v>
      </c>
      <c r="E180" s="40">
        <f t="shared" si="22"/>
        <v>-0.03205130704135583</v>
      </c>
      <c r="F180" s="37">
        <f t="shared" si="20"/>
        <v>0</v>
      </c>
      <c r="G180" s="37">
        <f t="shared" si="21"/>
        <v>0</v>
      </c>
      <c r="H180" s="37">
        <f t="shared" si="23"/>
        <v>0.03205130704135584</v>
      </c>
      <c r="I180" s="37">
        <f t="shared" si="24"/>
        <v>0</v>
      </c>
    </row>
    <row r="181" spans="1:9" ht="12" customHeight="1">
      <c r="A181" s="68"/>
      <c r="B181" s="4" t="s">
        <v>11</v>
      </c>
      <c r="C181" s="5" t="s">
        <v>103</v>
      </c>
      <c r="D181" s="52" t="s">
        <v>99</v>
      </c>
      <c r="E181" s="40">
        <f t="shared" si="22"/>
        <v>-0.023333352253818915</v>
      </c>
      <c r="F181" s="37">
        <f t="shared" si="20"/>
        <v>0</v>
      </c>
      <c r="G181" s="37">
        <f t="shared" si="21"/>
        <v>0</v>
      </c>
      <c r="H181" s="37">
        <f t="shared" si="23"/>
        <v>0.023333352253818926</v>
      </c>
      <c r="I181" s="37">
        <f t="shared" si="24"/>
        <v>0</v>
      </c>
    </row>
    <row r="182" spans="1:9" ht="12" customHeight="1">
      <c r="A182" s="68"/>
      <c r="B182" s="4" t="s">
        <v>12</v>
      </c>
      <c r="C182" s="5" t="s">
        <v>103</v>
      </c>
      <c r="D182" s="52" t="s">
        <v>99</v>
      </c>
      <c r="E182" s="40">
        <f t="shared" si="22"/>
        <v>-0.01650166382736842</v>
      </c>
      <c r="F182" s="37">
        <f t="shared" si="20"/>
        <v>0</v>
      </c>
      <c r="G182" s="37">
        <f t="shared" si="21"/>
        <v>0</v>
      </c>
      <c r="H182" s="37">
        <f t="shared" si="23"/>
        <v>0.016501663827368427</v>
      </c>
      <c r="I182" s="37">
        <f t="shared" si="24"/>
        <v>0</v>
      </c>
    </row>
    <row r="183" spans="1:9" ht="12" customHeight="1">
      <c r="A183" s="68"/>
      <c r="B183" s="4" t="s">
        <v>13</v>
      </c>
      <c r="C183" s="5" t="s">
        <v>103</v>
      </c>
      <c r="D183" s="52" t="s">
        <v>99</v>
      </c>
      <c r="E183" s="40">
        <f t="shared" si="22"/>
        <v>-0.011061956163602445</v>
      </c>
      <c r="F183" s="37">
        <f t="shared" si="20"/>
        <v>0</v>
      </c>
      <c r="G183" s="37">
        <f t="shared" si="21"/>
        <v>0</v>
      </c>
      <c r="H183" s="37">
        <f t="shared" si="23"/>
        <v>0.011061956163602445</v>
      </c>
      <c r="I183" s="37">
        <f t="shared" si="24"/>
        <v>0</v>
      </c>
    </row>
    <row r="184" spans="1:9" ht="12" customHeight="1">
      <c r="A184" s="69"/>
      <c r="B184" s="4" t="s">
        <v>14</v>
      </c>
      <c r="C184" s="5" t="s">
        <v>103</v>
      </c>
      <c r="D184" s="52" t="s">
        <v>99</v>
      </c>
      <c r="E184" s="40">
        <f t="shared" si="22"/>
        <v>-0.008312558939748813</v>
      </c>
      <c r="F184" s="37">
        <f t="shared" si="20"/>
        <v>0</v>
      </c>
      <c r="G184" s="37">
        <f t="shared" si="21"/>
        <v>0</v>
      </c>
      <c r="H184" s="37">
        <f t="shared" si="23"/>
        <v>0.008312558939748813</v>
      </c>
      <c r="I184" s="37">
        <f t="shared" si="24"/>
        <v>0</v>
      </c>
    </row>
    <row r="185" spans="1:9" ht="12" customHeight="1">
      <c r="A185" s="67" t="s">
        <v>95</v>
      </c>
      <c r="B185" s="4">
        <v>20</v>
      </c>
      <c r="C185" s="5" t="s">
        <v>103</v>
      </c>
      <c r="D185" s="2" t="s">
        <v>98</v>
      </c>
      <c r="E185" s="7">
        <f>IF($I$17=1,SpeakerCorrection1!E56,0)+IF($I$17=2,SpeakerCorrection2!E56,0)+IF($I$17=3,SpeakerCorrection3!E56,0)+IF($I$17=4,SpeakerCorrection4!E56,0)</f>
        <v>0</v>
      </c>
      <c r="F185" s="7">
        <f>IF($I$17=1,SpeakerCorrection1!F56,0)+IF($I$17=2,SpeakerCorrection2!F56,0)+IF($I$17=3,SpeakerCorrection3!F56,0)+IF($I$17=4,SpeakerCorrection4!F56,0)</f>
        <v>0</v>
      </c>
      <c r="G185" s="7">
        <f>IF($I$17=1,SpeakerCorrection1!G56,0)+IF($I$17=2,SpeakerCorrection2!G56,0)+IF($I$17=3,SpeakerCorrection3!G56,0)+IF($I$17=4,SpeakerCorrection4!G56,0)</f>
        <v>0</v>
      </c>
      <c r="H185" s="7">
        <f>IF($I$17=1,SpeakerCorrection1!H56,0)+IF($I$17=2,SpeakerCorrection2!H56,0)+IF($I$17=3,SpeakerCorrection3!H56,0)+IF($I$17=4,SpeakerCorrection4!H56,0)</f>
        <v>0</v>
      </c>
      <c r="I185" s="47"/>
    </row>
    <row r="186" spans="1:9" ht="12" customHeight="1">
      <c r="A186" s="68"/>
      <c r="B186" s="4">
        <v>30</v>
      </c>
      <c r="C186" s="5" t="s">
        <v>103</v>
      </c>
      <c r="D186" s="2" t="s">
        <v>98</v>
      </c>
      <c r="E186" s="7">
        <f>IF($I$17=1,SpeakerCorrection1!E57,0)+IF($I$17=2,SpeakerCorrection2!E57,0)+IF($I$17=3,SpeakerCorrection3!E57,0)+IF($I$17=4,SpeakerCorrection4!E57,0)</f>
        <v>0</v>
      </c>
      <c r="F186" s="7">
        <f>IF($I$17=1,SpeakerCorrection1!F57,0)+IF($I$17=2,SpeakerCorrection2!F57,0)+IF($I$17=3,SpeakerCorrection3!F57,0)+IF($I$17=4,SpeakerCorrection4!F57,0)</f>
        <v>0</v>
      </c>
      <c r="G186" s="7">
        <f>IF($I$17=1,SpeakerCorrection1!G57,0)+IF($I$17=2,SpeakerCorrection2!G57,0)+IF($I$17=3,SpeakerCorrection3!G57,0)+IF($I$17=4,SpeakerCorrection4!G57,0)</f>
        <v>0</v>
      </c>
      <c r="H186" s="7">
        <f>IF($I$17=1,SpeakerCorrection1!H57,0)+IF($I$17=2,SpeakerCorrection2!H57,0)+IF($I$17=3,SpeakerCorrection3!H57,0)+IF($I$17=4,SpeakerCorrection4!H57,0)</f>
        <v>0</v>
      </c>
      <c r="I186" s="47"/>
    </row>
    <row r="187" spans="1:9" ht="12" customHeight="1">
      <c r="A187" s="68"/>
      <c r="B187" s="4">
        <v>40</v>
      </c>
      <c r="C187" s="5" t="s">
        <v>103</v>
      </c>
      <c r="D187" s="2" t="s">
        <v>98</v>
      </c>
      <c r="E187" s="7">
        <f>IF($I$17=1,SpeakerCorrection1!E58,0)+IF($I$17=2,SpeakerCorrection2!E58,0)+IF($I$17=3,SpeakerCorrection3!E58,0)+IF($I$17=4,SpeakerCorrection4!E58,0)</f>
        <v>0</v>
      </c>
      <c r="F187" s="7">
        <f>IF($I$17=1,SpeakerCorrection1!F58,0)+IF($I$17=2,SpeakerCorrection2!F58,0)+IF($I$17=3,SpeakerCorrection3!F58,0)+IF($I$17=4,SpeakerCorrection4!F58,0)</f>
        <v>0</v>
      </c>
      <c r="G187" s="7">
        <f>IF($I$17=1,SpeakerCorrection1!G58,0)+IF($I$17=2,SpeakerCorrection2!G58,0)+IF($I$17=3,SpeakerCorrection3!G58,0)+IF($I$17=4,SpeakerCorrection4!G58,0)</f>
        <v>0</v>
      </c>
      <c r="H187" s="7">
        <f>IF($I$17=1,SpeakerCorrection1!H58,0)+IF($I$17=2,SpeakerCorrection2!H58,0)+IF($I$17=3,SpeakerCorrection3!H58,0)+IF($I$17=4,SpeakerCorrection4!H58,0)</f>
        <v>0</v>
      </c>
      <c r="I187" s="47"/>
    </row>
    <row r="188" spans="1:9" ht="12" customHeight="1">
      <c r="A188" s="68"/>
      <c r="B188" s="4">
        <v>50</v>
      </c>
      <c r="C188" s="5" t="s">
        <v>103</v>
      </c>
      <c r="D188" s="2" t="s">
        <v>98</v>
      </c>
      <c r="E188" s="7">
        <f>IF($I$17=1,SpeakerCorrection1!E59,0)+IF($I$17=2,SpeakerCorrection2!E59,0)+IF($I$17=3,SpeakerCorrection3!E59,0)+IF($I$17=4,SpeakerCorrection4!E59,0)</f>
        <v>0</v>
      </c>
      <c r="F188" s="7">
        <f>IF($I$17=1,SpeakerCorrection1!F59,0)+IF($I$17=2,SpeakerCorrection2!F59,0)+IF($I$17=3,SpeakerCorrection3!F59,0)+IF($I$17=4,SpeakerCorrection4!F59,0)</f>
        <v>0</v>
      </c>
      <c r="G188" s="7">
        <f>IF($I$17=1,SpeakerCorrection1!G59,0)+IF($I$17=2,SpeakerCorrection2!G59,0)+IF($I$17=3,SpeakerCorrection3!G59,0)+IF($I$17=4,SpeakerCorrection4!G59,0)</f>
        <v>0</v>
      </c>
      <c r="H188" s="7">
        <f>IF($I$17=1,SpeakerCorrection1!H59,0)+IF($I$17=2,SpeakerCorrection2!H59,0)+IF($I$17=3,SpeakerCorrection3!H59,0)+IF($I$17=4,SpeakerCorrection4!H59,0)</f>
        <v>0</v>
      </c>
      <c r="I188" s="47"/>
    </row>
    <row r="189" spans="1:9" ht="12" customHeight="1">
      <c r="A189" s="68"/>
      <c r="B189" s="4">
        <v>70</v>
      </c>
      <c r="C189" s="5" t="s">
        <v>103</v>
      </c>
      <c r="D189" s="2" t="s">
        <v>98</v>
      </c>
      <c r="E189" s="7">
        <f>IF($I$17=1,SpeakerCorrection1!E60,0)+IF($I$17=2,SpeakerCorrection2!E60,0)+IF($I$17=3,SpeakerCorrection3!E60,0)+IF($I$17=4,SpeakerCorrection4!E60,0)</f>
        <v>0</v>
      </c>
      <c r="F189" s="7">
        <f>IF($I$17=1,SpeakerCorrection1!F60,0)+IF($I$17=2,SpeakerCorrection2!F60,0)+IF($I$17=3,SpeakerCorrection3!F60,0)+IF($I$17=4,SpeakerCorrection4!F60,0)</f>
        <v>0</v>
      </c>
      <c r="G189" s="7">
        <f>IF($I$17=1,SpeakerCorrection1!G60,0)+IF($I$17=2,SpeakerCorrection2!G60,0)+IF($I$17=3,SpeakerCorrection3!G60,0)+IF($I$17=4,SpeakerCorrection4!G60,0)</f>
        <v>0</v>
      </c>
      <c r="H189" s="7">
        <f>IF($I$17=1,SpeakerCorrection1!H60,0)+IF($I$17=2,SpeakerCorrection2!H60,0)+IF($I$17=3,SpeakerCorrection3!H60,0)+IF($I$17=4,SpeakerCorrection4!H60,0)</f>
        <v>0</v>
      </c>
      <c r="I189" s="47"/>
    </row>
    <row r="190" spans="1:9" ht="12" customHeight="1">
      <c r="A190" s="68"/>
      <c r="B190" s="4">
        <v>100</v>
      </c>
      <c r="C190" s="5" t="s">
        <v>103</v>
      </c>
      <c r="D190" s="2" t="s">
        <v>98</v>
      </c>
      <c r="E190" s="7">
        <f>IF($I$17=1,SpeakerCorrection1!E61,0)+IF($I$17=2,SpeakerCorrection2!E61,0)+IF($I$17=3,SpeakerCorrection3!E61,0)+IF($I$17=4,SpeakerCorrection4!E61,0)</f>
        <v>0</v>
      </c>
      <c r="F190" s="7">
        <f>IF($I$17=1,SpeakerCorrection1!F61,0)+IF($I$17=2,SpeakerCorrection2!F61,0)+IF($I$17=3,SpeakerCorrection3!F61,0)+IF($I$17=4,SpeakerCorrection4!F61,0)</f>
        <v>0</v>
      </c>
      <c r="G190" s="7">
        <f>IF($I$17=1,SpeakerCorrection1!G61,0)+IF($I$17=2,SpeakerCorrection2!G61,0)+IF($I$17=3,SpeakerCorrection3!G61,0)+IF($I$17=4,SpeakerCorrection4!G61,0)</f>
        <v>0</v>
      </c>
      <c r="H190" s="7">
        <f>IF($I$17=1,SpeakerCorrection1!H61,0)+IF($I$17=2,SpeakerCorrection2!H61,0)+IF($I$17=3,SpeakerCorrection3!H61,0)+IF($I$17=4,SpeakerCorrection4!H61,0)</f>
        <v>0</v>
      </c>
      <c r="I190" s="47"/>
    </row>
    <row r="191" spans="1:9" ht="12" customHeight="1">
      <c r="A191" s="68"/>
      <c r="B191" s="4">
        <v>150</v>
      </c>
      <c r="C191" s="5" t="s">
        <v>103</v>
      </c>
      <c r="D191" s="2" t="s">
        <v>98</v>
      </c>
      <c r="E191" s="7">
        <f>IF($I$17=1,SpeakerCorrection1!E62,0)+IF($I$17=2,SpeakerCorrection2!E62,0)+IF($I$17=3,SpeakerCorrection3!E62,0)+IF($I$17=4,SpeakerCorrection4!E62,0)</f>
        <v>0</v>
      </c>
      <c r="F191" s="7">
        <f>IF($I$17=1,SpeakerCorrection1!F62,0)+IF($I$17=2,SpeakerCorrection2!F62,0)+IF($I$17=3,SpeakerCorrection3!F62,0)+IF($I$17=4,SpeakerCorrection4!F62,0)</f>
        <v>0</v>
      </c>
      <c r="G191" s="7">
        <f>IF($I$17=1,SpeakerCorrection1!G62,0)+IF($I$17=2,SpeakerCorrection2!G62,0)+IF($I$17=3,SpeakerCorrection3!G62,0)+IF($I$17=4,SpeakerCorrection4!G62,0)</f>
        <v>0</v>
      </c>
      <c r="H191" s="7">
        <f>IF($I$17=1,SpeakerCorrection1!H62,0)+IF($I$17=2,SpeakerCorrection2!H62,0)+IF($I$17=3,SpeakerCorrection3!H62,0)+IF($I$17=4,SpeakerCorrection4!H62,0)</f>
        <v>0</v>
      </c>
      <c r="I191" s="47"/>
    </row>
    <row r="192" spans="1:9" ht="12" customHeight="1">
      <c r="A192" s="68"/>
      <c r="B192" s="4">
        <v>200</v>
      </c>
      <c r="C192" s="5" t="s">
        <v>103</v>
      </c>
      <c r="D192" s="2" t="s">
        <v>98</v>
      </c>
      <c r="E192" s="7">
        <f>IF($I$17=1,SpeakerCorrection1!E63,0)+IF($I$17=2,SpeakerCorrection2!E63,0)+IF($I$17=3,SpeakerCorrection3!E63,0)+IF($I$17=4,SpeakerCorrection4!E63,0)</f>
        <v>0</v>
      </c>
      <c r="F192" s="7">
        <f>IF($I$17=1,SpeakerCorrection1!F63,0)+IF($I$17=2,SpeakerCorrection2!F63,0)+IF($I$17=3,SpeakerCorrection3!F63,0)+IF($I$17=4,SpeakerCorrection4!F63,0)</f>
        <v>0</v>
      </c>
      <c r="G192" s="7">
        <f>IF($I$17=1,SpeakerCorrection1!G63,0)+IF($I$17=2,SpeakerCorrection2!G63,0)+IF($I$17=3,SpeakerCorrection3!G63,0)+IF($I$17=4,SpeakerCorrection4!G63,0)</f>
        <v>0</v>
      </c>
      <c r="H192" s="7">
        <f>IF($I$17=1,SpeakerCorrection1!H63,0)+IF($I$17=2,SpeakerCorrection2!H63,0)+IF($I$17=3,SpeakerCorrection3!H63,0)+IF($I$17=4,SpeakerCorrection4!H63,0)</f>
        <v>0</v>
      </c>
      <c r="I192" s="47"/>
    </row>
    <row r="193" spans="1:9" ht="12" customHeight="1">
      <c r="A193" s="68"/>
      <c r="B193" s="4">
        <v>300</v>
      </c>
      <c r="C193" s="5" t="s">
        <v>103</v>
      </c>
      <c r="D193" s="2" t="s">
        <v>98</v>
      </c>
      <c r="E193" s="7">
        <f>IF($I$17=1,SpeakerCorrection1!E64,0)+IF($I$17=2,SpeakerCorrection2!E64,0)+IF($I$17=3,SpeakerCorrection3!E64,0)+IF($I$17=4,SpeakerCorrection4!E64,0)</f>
        <v>0</v>
      </c>
      <c r="F193" s="7">
        <f>IF($I$17=1,SpeakerCorrection1!F64,0)+IF($I$17=2,SpeakerCorrection2!F64,0)+IF($I$17=3,SpeakerCorrection3!F64,0)+IF($I$17=4,SpeakerCorrection4!F64,0)</f>
        <v>0</v>
      </c>
      <c r="G193" s="7">
        <f>IF($I$17=1,SpeakerCorrection1!G64,0)+IF($I$17=2,SpeakerCorrection2!G64,0)+IF($I$17=3,SpeakerCorrection3!G64,0)+IF($I$17=4,SpeakerCorrection4!G64,0)</f>
        <v>0</v>
      </c>
      <c r="H193" s="7">
        <f>IF($I$17=1,SpeakerCorrection1!H64,0)+IF($I$17=2,SpeakerCorrection2!H64,0)+IF($I$17=3,SpeakerCorrection3!H64,0)+IF($I$17=4,SpeakerCorrection4!H64,0)</f>
        <v>0</v>
      </c>
      <c r="I193" s="47"/>
    </row>
    <row r="194" spans="1:9" ht="12" customHeight="1">
      <c r="A194" s="68"/>
      <c r="B194" s="4">
        <v>400</v>
      </c>
      <c r="C194" s="5" t="s">
        <v>103</v>
      </c>
      <c r="D194" s="2" t="s">
        <v>98</v>
      </c>
      <c r="E194" s="7">
        <f>IF($I$17=1,SpeakerCorrection1!E65,0)+IF($I$17=2,SpeakerCorrection2!E65,0)+IF($I$17=3,SpeakerCorrection3!E65,0)+IF($I$17=4,SpeakerCorrection4!E65,0)</f>
        <v>0</v>
      </c>
      <c r="F194" s="7">
        <f>IF($I$17=1,SpeakerCorrection1!F65,0)+IF($I$17=2,SpeakerCorrection2!F65,0)+IF($I$17=3,SpeakerCorrection3!F65,0)+IF($I$17=4,SpeakerCorrection4!F65,0)</f>
        <v>0</v>
      </c>
      <c r="G194" s="7">
        <f>IF($I$17=1,SpeakerCorrection1!G65,0)+IF($I$17=2,SpeakerCorrection2!G65,0)+IF($I$17=3,SpeakerCorrection3!G65,0)+IF($I$17=4,SpeakerCorrection4!G65,0)</f>
        <v>0</v>
      </c>
      <c r="H194" s="7">
        <f>IF($I$17=1,SpeakerCorrection1!H65,0)+IF($I$17=2,SpeakerCorrection2!H65,0)+IF($I$17=3,SpeakerCorrection3!H65,0)+IF($I$17=4,SpeakerCorrection4!H65,0)</f>
        <v>0</v>
      </c>
      <c r="I194" s="47"/>
    </row>
    <row r="195" spans="1:9" ht="12" customHeight="1">
      <c r="A195" s="68"/>
      <c r="B195" s="4">
        <v>500</v>
      </c>
      <c r="C195" s="5" t="s">
        <v>103</v>
      </c>
      <c r="D195" s="2" t="s">
        <v>98</v>
      </c>
      <c r="E195" s="7">
        <f>IF($I$17=1,SpeakerCorrection1!E66,0)+IF($I$17=2,SpeakerCorrection2!E66,0)+IF($I$17=3,SpeakerCorrection3!E66,0)+IF($I$17=4,SpeakerCorrection4!E66,0)</f>
        <v>0</v>
      </c>
      <c r="F195" s="7">
        <f>IF($I$17=1,SpeakerCorrection1!F66,0)+IF($I$17=2,SpeakerCorrection2!F66,0)+IF($I$17=3,SpeakerCorrection3!F66,0)+IF($I$17=4,SpeakerCorrection4!F66,0)</f>
        <v>0</v>
      </c>
      <c r="G195" s="7">
        <f>IF($I$17=1,SpeakerCorrection1!G66,0)+IF($I$17=2,SpeakerCorrection2!G66,0)+IF($I$17=3,SpeakerCorrection3!G66,0)+IF($I$17=4,SpeakerCorrection4!G66,0)</f>
        <v>0</v>
      </c>
      <c r="H195" s="7">
        <f>IF($I$17=1,SpeakerCorrection1!H66,0)+IF($I$17=2,SpeakerCorrection2!H66,0)+IF($I$17=3,SpeakerCorrection3!H66,0)+IF($I$17=4,SpeakerCorrection4!H66,0)</f>
        <v>0</v>
      </c>
      <c r="I195" s="47"/>
    </row>
    <row r="196" spans="1:9" ht="12" customHeight="1">
      <c r="A196" s="68"/>
      <c r="B196" s="4">
        <v>700</v>
      </c>
      <c r="C196" s="5" t="s">
        <v>103</v>
      </c>
      <c r="D196" s="2" t="s">
        <v>98</v>
      </c>
      <c r="E196" s="7">
        <f>IF($I$17=1,SpeakerCorrection1!E67,0)+IF($I$17=2,SpeakerCorrection2!E67,0)+IF($I$17=3,SpeakerCorrection3!E67,0)+IF($I$17=4,SpeakerCorrection4!E67,0)</f>
        <v>0</v>
      </c>
      <c r="F196" s="7">
        <f>IF($I$17=1,SpeakerCorrection1!F67,0)+IF($I$17=2,SpeakerCorrection2!F67,0)+IF($I$17=3,SpeakerCorrection3!F67,0)+IF($I$17=4,SpeakerCorrection4!F67,0)</f>
        <v>0</v>
      </c>
      <c r="G196" s="7">
        <f>IF($I$17=1,SpeakerCorrection1!G67,0)+IF($I$17=2,SpeakerCorrection2!G67,0)+IF($I$17=3,SpeakerCorrection3!G67,0)+IF($I$17=4,SpeakerCorrection4!G67,0)</f>
        <v>0</v>
      </c>
      <c r="H196" s="7">
        <f>IF($I$17=1,SpeakerCorrection1!H67,0)+IF($I$17=2,SpeakerCorrection2!H67,0)+IF($I$17=3,SpeakerCorrection3!H67,0)+IF($I$17=4,SpeakerCorrection4!H67,0)</f>
        <v>0</v>
      </c>
      <c r="I196" s="47"/>
    </row>
    <row r="197" spans="1:9" ht="12" customHeight="1">
      <c r="A197" s="68"/>
      <c r="B197" s="4" t="s">
        <v>25</v>
      </c>
      <c r="C197" s="5" t="s">
        <v>103</v>
      </c>
      <c r="D197" s="2" t="s">
        <v>98</v>
      </c>
      <c r="E197" s="7">
        <f>IF($I$17=1,SpeakerCorrection1!E68,0)+IF($I$17=2,SpeakerCorrection2!E68,0)+IF($I$17=3,SpeakerCorrection3!E68,0)+IF($I$17=4,SpeakerCorrection4!E68,0)</f>
        <v>0</v>
      </c>
      <c r="F197" s="7">
        <f>IF($I$17=1,SpeakerCorrection1!F68,0)+IF($I$17=2,SpeakerCorrection2!F68,0)+IF($I$17=3,SpeakerCorrection3!F68,0)+IF($I$17=4,SpeakerCorrection4!F68,0)</f>
        <v>0</v>
      </c>
      <c r="G197" s="7">
        <f>IF($I$17=1,SpeakerCorrection1!G68,0)+IF($I$17=2,SpeakerCorrection2!G68,0)+IF($I$17=3,SpeakerCorrection3!G68,0)+IF($I$17=4,SpeakerCorrection4!G68,0)</f>
        <v>0</v>
      </c>
      <c r="H197" s="7">
        <f>IF($I$17=1,SpeakerCorrection1!H68,0)+IF($I$17=2,SpeakerCorrection2!H68,0)+IF($I$17=3,SpeakerCorrection3!H68,0)+IF($I$17=4,SpeakerCorrection4!H68,0)</f>
        <v>0</v>
      </c>
      <c r="I197" s="47"/>
    </row>
    <row r="198" spans="1:9" ht="12" customHeight="1">
      <c r="A198" s="68"/>
      <c r="B198" s="4" t="s">
        <v>26</v>
      </c>
      <c r="C198" s="5" t="s">
        <v>103</v>
      </c>
      <c r="D198" s="2" t="s">
        <v>98</v>
      </c>
      <c r="E198" s="7">
        <f>IF($I$17=1,SpeakerCorrection1!E69,0)+IF($I$17=2,SpeakerCorrection2!E69,0)+IF($I$17=3,SpeakerCorrection3!E69,0)+IF($I$17=4,SpeakerCorrection4!E69,0)</f>
        <v>0</v>
      </c>
      <c r="F198" s="7">
        <f>IF($I$17=1,SpeakerCorrection1!F69,0)+IF($I$17=2,SpeakerCorrection2!F69,0)+IF($I$17=3,SpeakerCorrection3!F69,0)+IF($I$17=4,SpeakerCorrection4!F69,0)</f>
        <v>0</v>
      </c>
      <c r="G198" s="7">
        <f>IF($I$17=1,SpeakerCorrection1!G69,0)+IF($I$17=2,SpeakerCorrection2!G69,0)+IF($I$17=3,SpeakerCorrection3!G69,0)+IF($I$17=4,SpeakerCorrection4!G69,0)</f>
        <v>0</v>
      </c>
      <c r="H198" s="7">
        <f>IF($I$17=1,SpeakerCorrection1!H69,0)+IF($I$17=2,SpeakerCorrection2!H69,0)+IF($I$17=3,SpeakerCorrection3!H69,0)+IF($I$17=4,SpeakerCorrection4!H69,0)</f>
        <v>0</v>
      </c>
      <c r="I198" s="47"/>
    </row>
    <row r="199" spans="1:9" ht="12" customHeight="1">
      <c r="A199" s="68"/>
      <c r="B199" s="4" t="s">
        <v>27</v>
      </c>
      <c r="C199" s="5" t="s">
        <v>103</v>
      </c>
      <c r="D199" s="2" t="s">
        <v>98</v>
      </c>
      <c r="E199" s="7">
        <f>IF($I$17=1,SpeakerCorrection1!E70,0)+IF($I$17=2,SpeakerCorrection2!E70,0)+IF($I$17=3,SpeakerCorrection3!E70,0)+IF($I$17=4,SpeakerCorrection4!E70,0)</f>
        <v>0</v>
      </c>
      <c r="F199" s="7">
        <f>IF($I$17=1,SpeakerCorrection1!F70,0)+IF($I$17=2,SpeakerCorrection2!F70,0)+IF($I$17=3,SpeakerCorrection3!F70,0)+IF($I$17=4,SpeakerCorrection4!F70,0)</f>
        <v>0</v>
      </c>
      <c r="G199" s="7">
        <f>IF($I$17=1,SpeakerCorrection1!G70,0)+IF($I$17=2,SpeakerCorrection2!G70,0)+IF($I$17=3,SpeakerCorrection3!G70,0)+IF($I$17=4,SpeakerCorrection4!G70,0)</f>
        <v>0</v>
      </c>
      <c r="H199" s="7">
        <f>IF($I$17=1,SpeakerCorrection1!H70,0)+IF($I$17=2,SpeakerCorrection2!H70,0)+IF($I$17=3,SpeakerCorrection3!H70,0)+IF($I$17=4,SpeakerCorrection4!H70,0)</f>
        <v>0</v>
      </c>
      <c r="I199" s="47"/>
    </row>
    <row r="200" spans="1:9" ht="12" customHeight="1">
      <c r="A200" s="68"/>
      <c r="B200" s="4" t="s">
        <v>28</v>
      </c>
      <c r="C200" s="5" t="s">
        <v>103</v>
      </c>
      <c r="D200" s="2" t="s">
        <v>98</v>
      </c>
      <c r="E200" s="7">
        <f>IF($I$17=1,SpeakerCorrection1!E71,0)+IF($I$17=2,SpeakerCorrection2!E71,0)+IF($I$17=3,SpeakerCorrection3!E71,0)+IF($I$17=4,SpeakerCorrection4!E71,0)</f>
        <v>0</v>
      </c>
      <c r="F200" s="7">
        <f>IF($I$17=1,SpeakerCorrection1!F71,0)+IF($I$17=2,SpeakerCorrection2!F71,0)+IF($I$17=3,SpeakerCorrection3!F71,0)+IF($I$17=4,SpeakerCorrection4!F71,0)</f>
        <v>0</v>
      </c>
      <c r="G200" s="7">
        <f>IF($I$17=1,SpeakerCorrection1!G71,0)+IF($I$17=2,SpeakerCorrection2!G71,0)+IF($I$17=3,SpeakerCorrection3!G71,0)+IF($I$17=4,SpeakerCorrection4!G71,0)</f>
        <v>0</v>
      </c>
      <c r="H200" s="7">
        <f>IF($I$17=1,SpeakerCorrection1!H71,0)+IF($I$17=2,SpeakerCorrection2!H71,0)+IF($I$17=3,SpeakerCorrection3!H71,0)+IF($I$17=4,SpeakerCorrection4!H71,0)</f>
        <v>0</v>
      </c>
      <c r="I200" s="47"/>
    </row>
    <row r="201" spans="1:9" ht="12" customHeight="1">
      <c r="A201" s="68"/>
      <c r="B201" s="4" t="s">
        <v>29</v>
      </c>
      <c r="C201" s="5" t="s">
        <v>103</v>
      </c>
      <c r="D201" s="2" t="s">
        <v>98</v>
      </c>
      <c r="E201" s="7">
        <f>IF($I$17=1,SpeakerCorrection1!E72,0)+IF($I$17=2,SpeakerCorrection2!E72,0)+IF($I$17=3,SpeakerCorrection3!E72,0)+IF($I$17=4,SpeakerCorrection4!E72,0)</f>
        <v>0</v>
      </c>
      <c r="F201" s="7">
        <f>IF($I$17=1,SpeakerCorrection1!F72,0)+IF($I$17=2,SpeakerCorrection2!F72,0)+IF($I$17=3,SpeakerCorrection3!F72,0)+IF($I$17=4,SpeakerCorrection4!F72,0)</f>
        <v>0</v>
      </c>
      <c r="G201" s="7">
        <f>IF($I$17=1,SpeakerCorrection1!G72,0)+IF($I$17=2,SpeakerCorrection2!G72,0)+IF($I$17=3,SpeakerCorrection3!G72,0)+IF($I$17=4,SpeakerCorrection4!G72,0)</f>
        <v>0</v>
      </c>
      <c r="H201" s="7">
        <f>IF($I$17=1,SpeakerCorrection1!H72,0)+IF($I$17=2,SpeakerCorrection2!H72,0)+IF($I$17=3,SpeakerCorrection3!H72,0)+IF($I$17=4,SpeakerCorrection4!H72,0)</f>
        <v>0</v>
      </c>
      <c r="I201" s="47"/>
    </row>
    <row r="202" spans="1:9" ht="12" customHeight="1">
      <c r="A202" s="68"/>
      <c r="B202" s="4" t="s">
        <v>30</v>
      </c>
      <c r="C202" s="5" t="s">
        <v>103</v>
      </c>
      <c r="D202" s="2" t="s">
        <v>98</v>
      </c>
      <c r="E202" s="7">
        <f>IF($I$17=1,SpeakerCorrection1!E73,0)+IF($I$17=2,SpeakerCorrection2!E73,0)+IF($I$17=3,SpeakerCorrection3!E73,0)+IF($I$17=4,SpeakerCorrection4!E73,0)</f>
        <v>0</v>
      </c>
      <c r="F202" s="7">
        <f>IF($I$17=1,SpeakerCorrection1!F73,0)+IF($I$17=2,SpeakerCorrection2!F73,0)+IF($I$17=3,SpeakerCorrection3!F73,0)+IF($I$17=4,SpeakerCorrection4!F73,0)</f>
        <v>0</v>
      </c>
      <c r="G202" s="7">
        <f>IF($I$17=1,SpeakerCorrection1!G73,0)+IF($I$17=2,SpeakerCorrection2!G73,0)+IF($I$17=3,SpeakerCorrection3!G73,0)+IF($I$17=4,SpeakerCorrection4!G73,0)</f>
        <v>0</v>
      </c>
      <c r="H202" s="7">
        <f>IF($I$17=1,SpeakerCorrection1!H73,0)+IF($I$17=2,SpeakerCorrection2!H73,0)+IF($I$17=3,SpeakerCorrection3!H73,0)+IF($I$17=4,SpeakerCorrection4!H73,0)</f>
        <v>0</v>
      </c>
      <c r="I202" s="47"/>
    </row>
    <row r="203" spans="1:9" ht="12" customHeight="1">
      <c r="A203" s="68"/>
      <c r="B203" s="4" t="s">
        <v>31</v>
      </c>
      <c r="C203" s="5" t="s">
        <v>103</v>
      </c>
      <c r="D203" s="2" t="s">
        <v>98</v>
      </c>
      <c r="E203" s="7">
        <f>IF($I$17=1,SpeakerCorrection1!E74,0)+IF($I$17=2,SpeakerCorrection2!E74,0)+IF($I$17=3,SpeakerCorrection3!E74,0)+IF($I$17=4,SpeakerCorrection4!E74,0)</f>
        <v>0</v>
      </c>
      <c r="F203" s="7">
        <f>IF($I$17=1,SpeakerCorrection1!F74,0)+IF($I$17=2,SpeakerCorrection2!F74,0)+IF($I$17=3,SpeakerCorrection3!F74,0)+IF($I$17=4,SpeakerCorrection4!F74,0)</f>
        <v>0</v>
      </c>
      <c r="G203" s="7">
        <f>IF($I$17=1,SpeakerCorrection1!G74,0)+IF($I$17=2,SpeakerCorrection2!G74,0)+IF($I$17=3,SpeakerCorrection3!G74,0)+IF($I$17=4,SpeakerCorrection4!G74,0)</f>
        <v>0</v>
      </c>
      <c r="H203" s="7">
        <f>IF($I$17=1,SpeakerCorrection1!H74,0)+IF($I$17=2,SpeakerCorrection2!H74,0)+IF($I$17=3,SpeakerCorrection3!H74,0)+IF($I$17=4,SpeakerCorrection4!H74,0)</f>
        <v>0</v>
      </c>
      <c r="I203" s="47"/>
    </row>
    <row r="204" spans="1:9" ht="12" customHeight="1">
      <c r="A204" s="68"/>
      <c r="B204" s="4" t="s">
        <v>32</v>
      </c>
      <c r="C204" s="5" t="s">
        <v>103</v>
      </c>
      <c r="D204" s="2" t="s">
        <v>98</v>
      </c>
      <c r="E204" s="7">
        <f>IF($I$17=1,SpeakerCorrection1!E75,0)+IF($I$17=2,SpeakerCorrection2!E75,0)+IF($I$17=3,SpeakerCorrection3!E75,0)+IF($I$17=4,SpeakerCorrection4!E75,0)</f>
        <v>0</v>
      </c>
      <c r="F204" s="7">
        <f>IF($I$17=1,SpeakerCorrection1!F75,0)+IF($I$17=2,SpeakerCorrection2!F75,0)+IF($I$17=3,SpeakerCorrection3!F75,0)+IF($I$17=4,SpeakerCorrection4!F75,0)</f>
        <v>0</v>
      </c>
      <c r="G204" s="7">
        <f>IF($I$17=1,SpeakerCorrection1!G75,0)+IF($I$17=2,SpeakerCorrection2!G75,0)+IF($I$17=3,SpeakerCorrection3!G75,0)+IF($I$17=4,SpeakerCorrection4!G75,0)</f>
        <v>0</v>
      </c>
      <c r="H204" s="7">
        <f>IF($I$17=1,SpeakerCorrection1!H75,0)+IF($I$17=2,SpeakerCorrection2!H75,0)+IF($I$17=3,SpeakerCorrection3!H75,0)+IF($I$17=4,SpeakerCorrection4!H75,0)</f>
        <v>0</v>
      </c>
      <c r="I204" s="47"/>
    </row>
    <row r="205" spans="1:9" ht="12" customHeight="1">
      <c r="A205" s="68"/>
      <c r="B205" s="4" t="s">
        <v>33</v>
      </c>
      <c r="C205" s="5" t="s">
        <v>103</v>
      </c>
      <c r="D205" s="2" t="s">
        <v>98</v>
      </c>
      <c r="E205" s="7">
        <f>IF($I$17=1,SpeakerCorrection1!E76,0)+IF($I$17=2,SpeakerCorrection2!E76,0)+IF($I$17=3,SpeakerCorrection3!E76,0)+IF($I$17=4,SpeakerCorrection4!E76,0)</f>
        <v>0</v>
      </c>
      <c r="F205" s="7">
        <f>IF($I$17=1,SpeakerCorrection1!F76,0)+IF($I$17=2,SpeakerCorrection2!F76,0)+IF($I$17=3,SpeakerCorrection3!F76,0)+IF($I$17=4,SpeakerCorrection4!F76,0)</f>
        <v>0</v>
      </c>
      <c r="G205" s="7">
        <f>IF($I$17=1,SpeakerCorrection1!G76,0)+IF($I$17=2,SpeakerCorrection2!G76,0)+IF($I$17=3,SpeakerCorrection3!G76,0)+IF($I$17=4,SpeakerCorrection4!G76,0)</f>
        <v>0</v>
      </c>
      <c r="H205" s="7">
        <f>IF($I$17=1,SpeakerCorrection1!H76,0)+IF($I$17=2,SpeakerCorrection2!H76,0)+IF($I$17=3,SpeakerCorrection3!H76,0)+IF($I$17=4,SpeakerCorrection4!H76,0)</f>
        <v>0</v>
      </c>
      <c r="I205" s="47"/>
    </row>
    <row r="206" spans="1:9" ht="12" customHeight="1">
      <c r="A206" s="69"/>
      <c r="B206" s="4" t="s">
        <v>34</v>
      </c>
      <c r="C206" s="5" t="s">
        <v>103</v>
      </c>
      <c r="D206" s="2" t="s">
        <v>98</v>
      </c>
      <c r="E206" s="7">
        <f>IF($I$17=1,SpeakerCorrection1!E77,0)+IF($I$17=2,SpeakerCorrection2!E77,0)+IF($I$17=3,SpeakerCorrection3!E77,0)+IF($I$17=4,SpeakerCorrection4!E77,0)</f>
        <v>0</v>
      </c>
      <c r="F206" s="7">
        <f>IF($I$17=1,SpeakerCorrection1!F77,0)+IF($I$17=2,SpeakerCorrection2!F77,0)+IF($I$17=3,SpeakerCorrection3!F77,0)+IF($I$17=4,SpeakerCorrection4!F77,0)</f>
        <v>0</v>
      </c>
      <c r="G206" s="7">
        <f>IF($I$17=1,SpeakerCorrection1!G77,0)+IF($I$17=2,SpeakerCorrection2!G77,0)+IF($I$17=3,SpeakerCorrection3!G77,0)+IF($I$17=4,SpeakerCorrection4!G77,0)</f>
        <v>0</v>
      </c>
      <c r="H206" s="7">
        <f>IF($I$17=1,SpeakerCorrection1!H77,0)+IF($I$17=2,SpeakerCorrection2!H77,0)+IF($I$17=3,SpeakerCorrection3!H77,0)+IF($I$17=4,SpeakerCorrection4!H77,0)</f>
        <v>0</v>
      </c>
      <c r="I206" s="47"/>
    </row>
    <row r="207" spans="1:9" ht="12" customHeight="1">
      <c r="A207" s="67" t="s">
        <v>96</v>
      </c>
      <c r="B207" s="4">
        <v>20</v>
      </c>
      <c r="C207" s="5" t="s">
        <v>103</v>
      </c>
      <c r="D207" s="2" t="s">
        <v>97</v>
      </c>
      <c r="E207" s="7">
        <f>IF($I$17=1,SpeakerCorrection1!E78,0)+IF($I$17=2,SpeakerCorrection2!E78,0)+IF($I$17=3,SpeakerCorrection3!E78,0)+IF($I$17=4,SpeakerCorrection4!E78,0)</f>
        <v>0</v>
      </c>
      <c r="F207" s="7">
        <f>IF($I$17=1,SpeakerCorrection1!F78,0)+IF($I$17=2,SpeakerCorrection2!F78,0)+IF($I$17=3,SpeakerCorrection3!F78,0)+IF($I$17=4,SpeakerCorrection4!F78,0)</f>
        <v>0</v>
      </c>
      <c r="G207" s="7">
        <f>IF($I$17=1,SpeakerCorrection1!G78,0)+IF($I$17=2,SpeakerCorrection2!G78,0)+IF($I$17=3,SpeakerCorrection3!G78,0)+IF($I$17=4,SpeakerCorrection4!G78,0)</f>
        <v>0</v>
      </c>
      <c r="H207" s="7">
        <f>IF($I$17=1,SpeakerCorrection1!H78,0)+IF($I$17=2,SpeakerCorrection2!H78,0)+IF($I$17=3,SpeakerCorrection3!H78,0)+IF($I$17=4,SpeakerCorrection4!H78,0)</f>
        <v>0</v>
      </c>
      <c r="I207" s="47"/>
    </row>
    <row r="208" spans="1:9" ht="12" customHeight="1">
      <c r="A208" s="68"/>
      <c r="B208" s="4">
        <v>30</v>
      </c>
      <c r="C208" s="5" t="s">
        <v>103</v>
      </c>
      <c r="D208" s="2" t="s">
        <v>97</v>
      </c>
      <c r="E208" s="7">
        <f>IF($I$17=1,SpeakerCorrection1!E79,0)+IF($I$17=2,SpeakerCorrection2!E79,0)+IF($I$17=3,SpeakerCorrection3!E79,0)+IF($I$17=4,SpeakerCorrection4!E79,0)</f>
        <v>0</v>
      </c>
      <c r="F208" s="7">
        <f>IF($I$17=1,SpeakerCorrection1!F79,0)+IF($I$17=2,SpeakerCorrection2!F79,0)+IF($I$17=3,SpeakerCorrection3!F79,0)+IF($I$17=4,SpeakerCorrection4!F79,0)</f>
        <v>0</v>
      </c>
      <c r="G208" s="7">
        <f>IF($I$17=1,SpeakerCorrection1!G79,0)+IF($I$17=2,SpeakerCorrection2!G79,0)+IF($I$17=3,SpeakerCorrection3!G79,0)+IF($I$17=4,SpeakerCorrection4!G79,0)</f>
        <v>0</v>
      </c>
      <c r="H208" s="7">
        <f>IF($I$17=1,SpeakerCorrection1!H79,0)+IF($I$17=2,SpeakerCorrection2!H79,0)+IF($I$17=3,SpeakerCorrection3!H79,0)+IF($I$17=4,SpeakerCorrection4!H79,0)</f>
        <v>0</v>
      </c>
      <c r="I208" s="47"/>
    </row>
    <row r="209" spans="1:9" ht="12" customHeight="1">
      <c r="A209" s="68"/>
      <c r="B209" s="4">
        <v>40</v>
      </c>
      <c r="C209" s="5" t="s">
        <v>103</v>
      </c>
      <c r="D209" s="2" t="s">
        <v>97</v>
      </c>
      <c r="E209" s="7">
        <f>IF($I$17=1,SpeakerCorrection1!E80,0)+IF($I$17=2,SpeakerCorrection2!E80,0)+IF($I$17=3,SpeakerCorrection3!E80,0)+IF($I$17=4,SpeakerCorrection4!E80,0)</f>
        <v>0</v>
      </c>
      <c r="F209" s="7">
        <f>IF($I$17=1,SpeakerCorrection1!F80,0)+IF($I$17=2,SpeakerCorrection2!F80,0)+IF($I$17=3,SpeakerCorrection3!F80,0)+IF($I$17=4,SpeakerCorrection4!F80,0)</f>
        <v>0</v>
      </c>
      <c r="G209" s="7">
        <f>IF($I$17=1,SpeakerCorrection1!G80,0)+IF($I$17=2,SpeakerCorrection2!G80,0)+IF($I$17=3,SpeakerCorrection3!G80,0)+IF($I$17=4,SpeakerCorrection4!G80,0)</f>
        <v>0</v>
      </c>
      <c r="H209" s="7">
        <f>IF($I$17=1,SpeakerCorrection1!H80,0)+IF($I$17=2,SpeakerCorrection2!H80,0)+IF($I$17=3,SpeakerCorrection3!H80,0)+IF($I$17=4,SpeakerCorrection4!H80,0)</f>
        <v>0</v>
      </c>
      <c r="I209" s="47"/>
    </row>
    <row r="210" spans="1:9" ht="12" customHeight="1">
      <c r="A210" s="68"/>
      <c r="B210" s="4">
        <v>50</v>
      </c>
      <c r="C210" s="5" t="s">
        <v>103</v>
      </c>
      <c r="D210" s="2" t="s">
        <v>97</v>
      </c>
      <c r="E210" s="7">
        <f>IF($I$17=1,SpeakerCorrection1!E81,0)+IF($I$17=2,SpeakerCorrection2!E81,0)+IF($I$17=3,SpeakerCorrection3!E81,0)+IF($I$17=4,SpeakerCorrection4!E81,0)</f>
        <v>0</v>
      </c>
      <c r="F210" s="7">
        <f>IF($I$17=1,SpeakerCorrection1!F81,0)+IF($I$17=2,SpeakerCorrection2!F81,0)+IF($I$17=3,SpeakerCorrection3!F81,0)+IF($I$17=4,SpeakerCorrection4!F81,0)</f>
        <v>0</v>
      </c>
      <c r="G210" s="7">
        <f>IF($I$17=1,SpeakerCorrection1!G81,0)+IF($I$17=2,SpeakerCorrection2!G81,0)+IF($I$17=3,SpeakerCorrection3!G81,0)+IF($I$17=4,SpeakerCorrection4!G81,0)</f>
        <v>0</v>
      </c>
      <c r="H210" s="7">
        <f>IF($I$17=1,SpeakerCorrection1!H81,0)+IF($I$17=2,SpeakerCorrection2!H81,0)+IF($I$17=3,SpeakerCorrection3!H81,0)+IF($I$17=4,SpeakerCorrection4!H81,0)</f>
        <v>0</v>
      </c>
      <c r="I210" s="47"/>
    </row>
    <row r="211" spans="1:9" ht="12" customHeight="1">
      <c r="A211" s="68"/>
      <c r="B211" s="4">
        <v>70</v>
      </c>
      <c r="C211" s="5" t="s">
        <v>103</v>
      </c>
      <c r="D211" s="2" t="s">
        <v>97</v>
      </c>
      <c r="E211" s="7">
        <f>IF($I$17=1,SpeakerCorrection1!E82,0)+IF($I$17=2,SpeakerCorrection2!E82,0)+IF($I$17=3,SpeakerCorrection3!E82,0)+IF($I$17=4,SpeakerCorrection4!E82,0)</f>
        <v>0</v>
      </c>
      <c r="F211" s="7">
        <f>IF($I$17=1,SpeakerCorrection1!F82,0)+IF($I$17=2,SpeakerCorrection2!F82,0)+IF($I$17=3,SpeakerCorrection3!F82,0)+IF($I$17=4,SpeakerCorrection4!F82,0)</f>
        <v>0</v>
      </c>
      <c r="G211" s="7">
        <f>IF($I$17=1,SpeakerCorrection1!G82,0)+IF($I$17=2,SpeakerCorrection2!G82,0)+IF($I$17=3,SpeakerCorrection3!G82,0)+IF($I$17=4,SpeakerCorrection4!G82,0)</f>
        <v>0</v>
      </c>
      <c r="H211" s="7">
        <f>IF($I$17=1,SpeakerCorrection1!H82,0)+IF($I$17=2,SpeakerCorrection2!H82,0)+IF($I$17=3,SpeakerCorrection3!H82,0)+IF($I$17=4,SpeakerCorrection4!H82,0)</f>
        <v>0</v>
      </c>
      <c r="I211" s="47"/>
    </row>
    <row r="212" spans="1:9" ht="12" customHeight="1">
      <c r="A212" s="68"/>
      <c r="B212" s="4">
        <v>100</v>
      </c>
      <c r="C212" s="5" t="s">
        <v>103</v>
      </c>
      <c r="D212" s="2" t="s">
        <v>97</v>
      </c>
      <c r="E212" s="7">
        <f>IF($I$17=1,SpeakerCorrection1!E83,0)+IF($I$17=2,SpeakerCorrection2!E83,0)+IF($I$17=3,SpeakerCorrection3!E83,0)+IF($I$17=4,SpeakerCorrection4!E83,0)</f>
        <v>0</v>
      </c>
      <c r="F212" s="7">
        <f>IF($I$17=1,SpeakerCorrection1!F83,0)+IF($I$17=2,SpeakerCorrection2!F83,0)+IF($I$17=3,SpeakerCorrection3!F83,0)+IF($I$17=4,SpeakerCorrection4!F83,0)</f>
        <v>0</v>
      </c>
      <c r="G212" s="7">
        <f>IF($I$17=1,SpeakerCorrection1!G83,0)+IF($I$17=2,SpeakerCorrection2!G83,0)+IF($I$17=3,SpeakerCorrection3!G83,0)+IF($I$17=4,SpeakerCorrection4!G83,0)</f>
        <v>0</v>
      </c>
      <c r="H212" s="7">
        <f>IF($I$17=1,SpeakerCorrection1!H83,0)+IF($I$17=2,SpeakerCorrection2!H83,0)+IF($I$17=3,SpeakerCorrection3!H83,0)+IF($I$17=4,SpeakerCorrection4!H83,0)</f>
        <v>0</v>
      </c>
      <c r="I212" s="47"/>
    </row>
    <row r="213" spans="1:9" ht="12" customHeight="1">
      <c r="A213" s="68"/>
      <c r="B213" s="4">
        <v>150</v>
      </c>
      <c r="C213" s="5" t="s">
        <v>103</v>
      </c>
      <c r="D213" s="2" t="s">
        <v>97</v>
      </c>
      <c r="E213" s="7">
        <f>IF($I$17=1,SpeakerCorrection1!E84,0)+IF($I$17=2,SpeakerCorrection2!E84,0)+IF($I$17=3,SpeakerCorrection3!E84,0)+IF($I$17=4,SpeakerCorrection4!E84,0)</f>
        <v>0</v>
      </c>
      <c r="F213" s="7">
        <f>IF($I$17=1,SpeakerCorrection1!F84,0)+IF($I$17=2,SpeakerCorrection2!F84,0)+IF($I$17=3,SpeakerCorrection3!F84,0)+IF($I$17=4,SpeakerCorrection4!F84,0)</f>
        <v>0</v>
      </c>
      <c r="G213" s="7">
        <f>IF($I$17=1,SpeakerCorrection1!G84,0)+IF($I$17=2,SpeakerCorrection2!G84,0)+IF($I$17=3,SpeakerCorrection3!G84,0)+IF($I$17=4,SpeakerCorrection4!G84,0)</f>
        <v>0</v>
      </c>
      <c r="H213" s="7">
        <f>IF($I$17=1,SpeakerCorrection1!H84,0)+IF($I$17=2,SpeakerCorrection2!H84,0)+IF($I$17=3,SpeakerCorrection3!H84,0)+IF($I$17=4,SpeakerCorrection4!H84,0)</f>
        <v>0</v>
      </c>
      <c r="I213" s="47"/>
    </row>
    <row r="214" spans="1:9" ht="12" customHeight="1">
      <c r="A214" s="68"/>
      <c r="B214" s="4">
        <v>200</v>
      </c>
      <c r="C214" s="5" t="s">
        <v>103</v>
      </c>
      <c r="D214" s="2" t="s">
        <v>97</v>
      </c>
      <c r="E214" s="7">
        <f>IF($I$17=1,SpeakerCorrection1!E85,0)+IF($I$17=2,SpeakerCorrection2!E85,0)+IF($I$17=3,SpeakerCorrection3!E85,0)+IF($I$17=4,SpeakerCorrection4!E85,0)</f>
        <v>0</v>
      </c>
      <c r="F214" s="7">
        <f>IF($I$17=1,SpeakerCorrection1!F85,0)+IF($I$17=2,SpeakerCorrection2!F85,0)+IF($I$17=3,SpeakerCorrection3!F85,0)+IF($I$17=4,SpeakerCorrection4!F85,0)</f>
        <v>0</v>
      </c>
      <c r="G214" s="7">
        <f>IF($I$17=1,SpeakerCorrection1!G85,0)+IF($I$17=2,SpeakerCorrection2!G85,0)+IF($I$17=3,SpeakerCorrection3!G85,0)+IF($I$17=4,SpeakerCorrection4!G85,0)</f>
        <v>0</v>
      </c>
      <c r="H214" s="7">
        <f>IF($I$17=1,SpeakerCorrection1!H85,0)+IF($I$17=2,SpeakerCorrection2!H85,0)+IF($I$17=3,SpeakerCorrection3!H85,0)+IF($I$17=4,SpeakerCorrection4!H85,0)</f>
        <v>0</v>
      </c>
      <c r="I214" s="47"/>
    </row>
    <row r="215" spans="1:9" ht="12" customHeight="1">
      <c r="A215" s="68"/>
      <c r="B215" s="4">
        <v>300</v>
      </c>
      <c r="C215" s="5" t="s">
        <v>103</v>
      </c>
      <c r="D215" s="2" t="s">
        <v>97</v>
      </c>
      <c r="E215" s="7">
        <f>IF($I$17=1,SpeakerCorrection1!E86,0)+IF($I$17=2,SpeakerCorrection2!E86,0)+IF($I$17=3,SpeakerCorrection3!E86,0)+IF($I$17=4,SpeakerCorrection4!E86,0)</f>
        <v>0</v>
      </c>
      <c r="F215" s="7">
        <f>IF($I$17=1,SpeakerCorrection1!F86,0)+IF($I$17=2,SpeakerCorrection2!F86,0)+IF($I$17=3,SpeakerCorrection3!F86,0)+IF($I$17=4,SpeakerCorrection4!F86,0)</f>
        <v>0</v>
      </c>
      <c r="G215" s="7">
        <f>IF($I$17=1,SpeakerCorrection1!G86,0)+IF($I$17=2,SpeakerCorrection2!G86,0)+IF($I$17=3,SpeakerCorrection3!G86,0)+IF($I$17=4,SpeakerCorrection4!G86,0)</f>
        <v>0</v>
      </c>
      <c r="H215" s="7">
        <f>IF($I$17=1,SpeakerCorrection1!H86,0)+IF($I$17=2,SpeakerCorrection2!H86,0)+IF($I$17=3,SpeakerCorrection3!H86,0)+IF($I$17=4,SpeakerCorrection4!H86,0)</f>
        <v>0</v>
      </c>
      <c r="I215" s="47"/>
    </row>
    <row r="216" spans="1:9" ht="12" customHeight="1">
      <c r="A216" s="68"/>
      <c r="B216" s="4">
        <v>400</v>
      </c>
      <c r="C216" s="5" t="s">
        <v>103</v>
      </c>
      <c r="D216" s="2" t="s">
        <v>97</v>
      </c>
      <c r="E216" s="7">
        <f>IF($I$17=1,SpeakerCorrection1!E87,0)+IF($I$17=2,SpeakerCorrection2!E87,0)+IF($I$17=3,SpeakerCorrection3!E87,0)+IF($I$17=4,SpeakerCorrection4!E87,0)</f>
        <v>0</v>
      </c>
      <c r="F216" s="7">
        <f>IF($I$17=1,SpeakerCorrection1!F87,0)+IF($I$17=2,SpeakerCorrection2!F87,0)+IF($I$17=3,SpeakerCorrection3!F87,0)+IF($I$17=4,SpeakerCorrection4!F87,0)</f>
        <v>0</v>
      </c>
      <c r="G216" s="7">
        <f>IF($I$17=1,SpeakerCorrection1!G87,0)+IF($I$17=2,SpeakerCorrection2!G87,0)+IF($I$17=3,SpeakerCorrection3!G87,0)+IF($I$17=4,SpeakerCorrection4!G87,0)</f>
        <v>0</v>
      </c>
      <c r="H216" s="7">
        <f>IF($I$17=1,SpeakerCorrection1!H87,0)+IF($I$17=2,SpeakerCorrection2!H87,0)+IF($I$17=3,SpeakerCorrection3!H87,0)+IF($I$17=4,SpeakerCorrection4!H87,0)</f>
        <v>0</v>
      </c>
      <c r="I216" s="47"/>
    </row>
    <row r="217" spans="1:9" ht="12" customHeight="1">
      <c r="A217" s="68"/>
      <c r="B217" s="4">
        <v>500</v>
      </c>
      <c r="C217" s="5" t="s">
        <v>103</v>
      </c>
      <c r="D217" s="2" t="s">
        <v>97</v>
      </c>
      <c r="E217" s="7">
        <f>IF($I$17=1,SpeakerCorrection1!E88,0)+IF($I$17=2,SpeakerCorrection2!E88,0)+IF($I$17=3,SpeakerCorrection3!E88,0)+IF($I$17=4,SpeakerCorrection4!E88,0)</f>
        <v>0</v>
      </c>
      <c r="F217" s="7">
        <f>IF($I$17=1,SpeakerCorrection1!F88,0)+IF($I$17=2,SpeakerCorrection2!F88,0)+IF($I$17=3,SpeakerCorrection3!F88,0)+IF($I$17=4,SpeakerCorrection4!F88,0)</f>
        <v>0</v>
      </c>
      <c r="G217" s="7">
        <f>IF($I$17=1,SpeakerCorrection1!G88,0)+IF($I$17=2,SpeakerCorrection2!G88,0)+IF($I$17=3,SpeakerCorrection3!G88,0)+IF($I$17=4,SpeakerCorrection4!G88,0)</f>
        <v>0</v>
      </c>
      <c r="H217" s="7">
        <f>IF($I$17=1,SpeakerCorrection1!H88,0)+IF($I$17=2,SpeakerCorrection2!H88,0)+IF($I$17=3,SpeakerCorrection3!H88,0)+IF($I$17=4,SpeakerCorrection4!H88,0)</f>
        <v>0</v>
      </c>
      <c r="I217" s="47"/>
    </row>
    <row r="218" spans="1:9" ht="12" customHeight="1">
      <c r="A218" s="68"/>
      <c r="B218" s="4">
        <v>700</v>
      </c>
      <c r="C218" s="5" t="s">
        <v>103</v>
      </c>
      <c r="D218" s="2" t="s">
        <v>97</v>
      </c>
      <c r="E218" s="7">
        <f>IF($I$17=1,SpeakerCorrection1!E89,0)+IF($I$17=2,SpeakerCorrection2!E89,0)+IF($I$17=3,SpeakerCorrection3!E89,0)+IF($I$17=4,SpeakerCorrection4!E89,0)</f>
        <v>0</v>
      </c>
      <c r="F218" s="7">
        <f>IF($I$17=1,SpeakerCorrection1!F89,0)+IF($I$17=2,SpeakerCorrection2!F89,0)+IF($I$17=3,SpeakerCorrection3!F89,0)+IF($I$17=4,SpeakerCorrection4!F89,0)</f>
        <v>0</v>
      </c>
      <c r="G218" s="7">
        <f>IF($I$17=1,SpeakerCorrection1!G89,0)+IF($I$17=2,SpeakerCorrection2!G89,0)+IF($I$17=3,SpeakerCorrection3!G89,0)+IF($I$17=4,SpeakerCorrection4!G89,0)</f>
        <v>0</v>
      </c>
      <c r="H218" s="7">
        <f>IF($I$17=1,SpeakerCorrection1!H89,0)+IF($I$17=2,SpeakerCorrection2!H89,0)+IF($I$17=3,SpeakerCorrection3!H89,0)+IF($I$17=4,SpeakerCorrection4!H89,0)</f>
        <v>0</v>
      </c>
      <c r="I218" s="47"/>
    </row>
    <row r="219" spans="1:9" ht="12" customHeight="1">
      <c r="A219" s="68"/>
      <c r="B219" s="4" t="s">
        <v>5</v>
      </c>
      <c r="C219" s="5" t="s">
        <v>103</v>
      </c>
      <c r="D219" s="2" t="s">
        <v>97</v>
      </c>
      <c r="E219" s="7">
        <f>IF($I$17=1,SpeakerCorrection1!E90,0)+IF($I$17=2,SpeakerCorrection2!E90,0)+IF($I$17=3,SpeakerCorrection3!E90,0)+IF($I$17=4,SpeakerCorrection4!E90,0)</f>
        <v>0</v>
      </c>
      <c r="F219" s="7">
        <f>IF($I$17=1,SpeakerCorrection1!F90,0)+IF($I$17=2,SpeakerCorrection2!F90,0)+IF($I$17=3,SpeakerCorrection3!F90,0)+IF($I$17=4,SpeakerCorrection4!F90,0)</f>
        <v>0</v>
      </c>
      <c r="G219" s="7">
        <f>IF($I$17=1,SpeakerCorrection1!G90,0)+IF($I$17=2,SpeakerCorrection2!G90,0)+IF($I$17=3,SpeakerCorrection3!G90,0)+IF($I$17=4,SpeakerCorrection4!G90,0)</f>
        <v>0</v>
      </c>
      <c r="H219" s="7">
        <f>IF($I$17=1,SpeakerCorrection1!H90,0)+IF($I$17=2,SpeakerCorrection2!H90,0)+IF($I$17=3,SpeakerCorrection3!H90,0)+IF($I$17=4,SpeakerCorrection4!H90,0)</f>
        <v>0</v>
      </c>
      <c r="I219" s="47"/>
    </row>
    <row r="220" spans="1:9" ht="12" customHeight="1">
      <c r="A220" s="68"/>
      <c r="B220" s="4" t="s">
        <v>6</v>
      </c>
      <c r="C220" s="5" t="s">
        <v>103</v>
      </c>
      <c r="D220" s="2" t="s">
        <v>97</v>
      </c>
      <c r="E220" s="7">
        <f>IF($I$17=1,SpeakerCorrection1!E91,0)+IF($I$17=2,SpeakerCorrection2!E91,0)+IF($I$17=3,SpeakerCorrection3!E91,0)+IF($I$17=4,SpeakerCorrection4!E91,0)</f>
        <v>0</v>
      </c>
      <c r="F220" s="7">
        <f>IF($I$17=1,SpeakerCorrection1!F91,0)+IF($I$17=2,SpeakerCorrection2!F91,0)+IF($I$17=3,SpeakerCorrection3!F91,0)+IF($I$17=4,SpeakerCorrection4!F91,0)</f>
        <v>0</v>
      </c>
      <c r="G220" s="7">
        <f>IF($I$17=1,SpeakerCorrection1!G91,0)+IF($I$17=2,SpeakerCorrection2!G91,0)+IF($I$17=3,SpeakerCorrection3!G91,0)+IF($I$17=4,SpeakerCorrection4!G91,0)</f>
        <v>0</v>
      </c>
      <c r="H220" s="7">
        <f>IF($I$17=1,SpeakerCorrection1!H91,0)+IF($I$17=2,SpeakerCorrection2!H91,0)+IF($I$17=3,SpeakerCorrection3!H91,0)+IF($I$17=4,SpeakerCorrection4!H91,0)</f>
        <v>0</v>
      </c>
      <c r="I220" s="47"/>
    </row>
    <row r="221" spans="1:9" ht="12" customHeight="1">
      <c r="A221" s="68"/>
      <c r="B221" s="4" t="s">
        <v>7</v>
      </c>
      <c r="C221" s="5" t="s">
        <v>103</v>
      </c>
      <c r="D221" s="2" t="s">
        <v>97</v>
      </c>
      <c r="E221" s="7">
        <f>IF($I$17=1,SpeakerCorrection1!E92,0)+IF($I$17=2,SpeakerCorrection2!E92,0)+IF($I$17=3,SpeakerCorrection3!E92,0)+IF($I$17=4,SpeakerCorrection4!E92,0)</f>
        <v>0</v>
      </c>
      <c r="F221" s="7">
        <f>IF($I$17=1,SpeakerCorrection1!F92,0)+IF($I$17=2,SpeakerCorrection2!F92,0)+IF($I$17=3,SpeakerCorrection3!F92,0)+IF($I$17=4,SpeakerCorrection4!F92,0)</f>
        <v>0</v>
      </c>
      <c r="G221" s="7">
        <f>IF($I$17=1,SpeakerCorrection1!G92,0)+IF($I$17=2,SpeakerCorrection2!G92,0)+IF($I$17=3,SpeakerCorrection3!G92,0)+IF($I$17=4,SpeakerCorrection4!G92,0)</f>
        <v>0</v>
      </c>
      <c r="H221" s="7">
        <f>IF($I$17=1,SpeakerCorrection1!H92,0)+IF($I$17=2,SpeakerCorrection2!H92,0)+IF($I$17=3,SpeakerCorrection3!H92,0)+IF($I$17=4,SpeakerCorrection4!H92,0)</f>
        <v>0</v>
      </c>
      <c r="I221" s="47"/>
    </row>
    <row r="222" spans="1:9" ht="12" customHeight="1">
      <c r="A222" s="68"/>
      <c r="B222" s="4" t="s">
        <v>8</v>
      </c>
      <c r="C222" s="5" t="s">
        <v>103</v>
      </c>
      <c r="D222" s="2" t="s">
        <v>97</v>
      </c>
      <c r="E222" s="7">
        <f>IF($I$17=1,SpeakerCorrection1!E93,0)+IF($I$17=2,SpeakerCorrection2!E93,0)+IF($I$17=3,SpeakerCorrection3!E93,0)+IF($I$17=4,SpeakerCorrection4!E93,0)</f>
        <v>0</v>
      </c>
      <c r="F222" s="7">
        <f>IF($I$17=1,SpeakerCorrection1!F93,0)+IF($I$17=2,SpeakerCorrection2!F93,0)+IF($I$17=3,SpeakerCorrection3!F93,0)+IF($I$17=4,SpeakerCorrection4!F93,0)</f>
        <v>0</v>
      </c>
      <c r="G222" s="7">
        <f>IF($I$17=1,SpeakerCorrection1!G93,0)+IF($I$17=2,SpeakerCorrection2!G93,0)+IF($I$17=3,SpeakerCorrection3!G93,0)+IF($I$17=4,SpeakerCorrection4!G93,0)</f>
        <v>0</v>
      </c>
      <c r="H222" s="7">
        <f>IF($I$17=1,SpeakerCorrection1!H93,0)+IF($I$17=2,SpeakerCorrection2!H93,0)+IF($I$17=3,SpeakerCorrection3!H93,0)+IF($I$17=4,SpeakerCorrection4!H93,0)</f>
        <v>0</v>
      </c>
      <c r="I222" s="47"/>
    </row>
    <row r="223" spans="1:9" ht="12" customHeight="1">
      <c r="A223" s="68"/>
      <c r="B223" s="4" t="s">
        <v>9</v>
      </c>
      <c r="C223" s="5" t="s">
        <v>103</v>
      </c>
      <c r="D223" s="2" t="s">
        <v>97</v>
      </c>
      <c r="E223" s="7">
        <f>IF($I$17=1,SpeakerCorrection1!E94,0)+IF($I$17=2,SpeakerCorrection2!E94,0)+IF($I$17=3,SpeakerCorrection3!E94,0)+IF($I$17=4,SpeakerCorrection4!E94,0)</f>
        <v>0</v>
      </c>
      <c r="F223" s="7">
        <f>IF($I$17=1,SpeakerCorrection1!F94,0)+IF($I$17=2,SpeakerCorrection2!F94,0)+IF($I$17=3,SpeakerCorrection3!F94,0)+IF($I$17=4,SpeakerCorrection4!F94,0)</f>
        <v>0</v>
      </c>
      <c r="G223" s="7">
        <f>IF($I$17=1,SpeakerCorrection1!G94,0)+IF($I$17=2,SpeakerCorrection2!G94,0)+IF($I$17=3,SpeakerCorrection3!G94,0)+IF($I$17=4,SpeakerCorrection4!G94,0)</f>
        <v>0</v>
      </c>
      <c r="H223" s="7">
        <f>IF($I$17=1,SpeakerCorrection1!H94,0)+IF($I$17=2,SpeakerCorrection2!H94,0)+IF($I$17=3,SpeakerCorrection3!H94,0)+IF($I$17=4,SpeakerCorrection4!H94,0)</f>
        <v>0</v>
      </c>
      <c r="I223" s="47"/>
    </row>
    <row r="224" spans="1:9" ht="12" customHeight="1">
      <c r="A224" s="68"/>
      <c r="B224" s="4" t="s">
        <v>10</v>
      </c>
      <c r="C224" s="5" t="s">
        <v>103</v>
      </c>
      <c r="D224" s="2" t="s">
        <v>97</v>
      </c>
      <c r="E224" s="7">
        <f>IF($I$17=1,SpeakerCorrection1!E95,0)+IF($I$17=2,SpeakerCorrection2!E95,0)+IF($I$17=3,SpeakerCorrection3!E95,0)+IF($I$17=4,SpeakerCorrection4!E95,0)</f>
        <v>0</v>
      </c>
      <c r="F224" s="7">
        <f>IF($I$17=1,SpeakerCorrection1!F95,0)+IF($I$17=2,SpeakerCorrection2!F95,0)+IF($I$17=3,SpeakerCorrection3!F95,0)+IF($I$17=4,SpeakerCorrection4!F95,0)</f>
        <v>0</v>
      </c>
      <c r="G224" s="7">
        <f>IF($I$17=1,SpeakerCorrection1!G95,0)+IF($I$17=2,SpeakerCorrection2!G95,0)+IF($I$17=3,SpeakerCorrection3!G95,0)+IF($I$17=4,SpeakerCorrection4!G95,0)</f>
        <v>0</v>
      </c>
      <c r="H224" s="7">
        <f>IF($I$17=1,SpeakerCorrection1!H95,0)+IF($I$17=2,SpeakerCorrection2!H95,0)+IF($I$17=3,SpeakerCorrection3!H95,0)+IF($I$17=4,SpeakerCorrection4!H95,0)</f>
        <v>0</v>
      </c>
      <c r="I224" s="47"/>
    </row>
    <row r="225" spans="1:9" ht="12" customHeight="1">
      <c r="A225" s="68"/>
      <c r="B225" s="4" t="s">
        <v>11</v>
      </c>
      <c r="C225" s="5" t="s">
        <v>103</v>
      </c>
      <c r="D225" s="2" t="s">
        <v>97</v>
      </c>
      <c r="E225" s="7">
        <f>IF($I$17=1,SpeakerCorrection1!E96,0)+IF($I$17=2,SpeakerCorrection2!E96,0)+IF($I$17=3,SpeakerCorrection3!E96,0)+IF($I$17=4,SpeakerCorrection4!E96,0)</f>
        <v>0</v>
      </c>
      <c r="F225" s="7">
        <f>IF($I$17=1,SpeakerCorrection1!F96,0)+IF($I$17=2,SpeakerCorrection2!F96,0)+IF($I$17=3,SpeakerCorrection3!F96,0)+IF($I$17=4,SpeakerCorrection4!F96,0)</f>
        <v>0</v>
      </c>
      <c r="G225" s="7">
        <f>IF($I$17=1,SpeakerCorrection1!G96,0)+IF($I$17=2,SpeakerCorrection2!G96,0)+IF($I$17=3,SpeakerCorrection3!G96,0)+IF($I$17=4,SpeakerCorrection4!G96,0)</f>
        <v>0</v>
      </c>
      <c r="H225" s="7">
        <f>IF($I$17=1,SpeakerCorrection1!H96,0)+IF($I$17=2,SpeakerCorrection2!H96,0)+IF($I$17=3,SpeakerCorrection3!H96,0)+IF($I$17=4,SpeakerCorrection4!H96,0)</f>
        <v>0</v>
      </c>
      <c r="I225" s="47"/>
    </row>
    <row r="226" spans="1:9" ht="12" customHeight="1">
      <c r="A226" s="68"/>
      <c r="B226" s="4" t="s">
        <v>12</v>
      </c>
      <c r="C226" s="5" t="s">
        <v>103</v>
      </c>
      <c r="D226" s="2" t="s">
        <v>97</v>
      </c>
      <c r="E226" s="7">
        <f>IF($I$17=1,SpeakerCorrection1!E97,0)+IF($I$17=2,SpeakerCorrection2!E97,0)+IF($I$17=3,SpeakerCorrection3!E97,0)+IF($I$17=4,SpeakerCorrection4!E97,0)</f>
        <v>0</v>
      </c>
      <c r="F226" s="7">
        <f>IF($I$17=1,SpeakerCorrection1!F97,0)+IF($I$17=2,SpeakerCorrection2!F97,0)+IF($I$17=3,SpeakerCorrection3!F97,0)+IF($I$17=4,SpeakerCorrection4!F97,0)</f>
        <v>0</v>
      </c>
      <c r="G226" s="7">
        <f>IF($I$17=1,SpeakerCorrection1!G97,0)+IF($I$17=2,SpeakerCorrection2!G97,0)+IF($I$17=3,SpeakerCorrection3!G97,0)+IF($I$17=4,SpeakerCorrection4!G97,0)</f>
        <v>0</v>
      </c>
      <c r="H226" s="7">
        <f>IF($I$17=1,SpeakerCorrection1!H97,0)+IF($I$17=2,SpeakerCorrection2!H97,0)+IF($I$17=3,SpeakerCorrection3!H97,0)+IF($I$17=4,SpeakerCorrection4!H97,0)</f>
        <v>0</v>
      </c>
      <c r="I226" s="47"/>
    </row>
    <row r="227" spans="1:9" ht="12" customHeight="1">
      <c r="A227" s="68"/>
      <c r="B227" s="4" t="s">
        <v>13</v>
      </c>
      <c r="C227" s="5" t="s">
        <v>103</v>
      </c>
      <c r="D227" s="2" t="s">
        <v>97</v>
      </c>
      <c r="E227" s="7">
        <f>IF($I$17=1,SpeakerCorrection1!E98,0)+IF($I$17=2,SpeakerCorrection2!E98,0)+IF($I$17=3,SpeakerCorrection3!E98,0)+IF($I$17=4,SpeakerCorrection4!E98,0)</f>
        <v>0</v>
      </c>
      <c r="F227" s="7">
        <f>IF($I$17=1,SpeakerCorrection1!F98,0)+IF($I$17=2,SpeakerCorrection2!F98,0)+IF($I$17=3,SpeakerCorrection3!F98,0)+IF($I$17=4,SpeakerCorrection4!F98,0)</f>
        <v>0</v>
      </c>
      <c r="G227" s="7">
        <f>IF($I$17=1,SpeakerCorrection1!G98,0)+IF($I$17=2,SpeakerCorrection2!G98,0)+IF($I$17=3,SpeakerCorrection3!G98,0)+IF($I$17=4,SpeakerCorrection4!G98,0)</f>
        <v>0</v>
      </c>
      <c r="H227" s="7">
        <f>IF($I$17=1,SpeakerCorrection1!H98,0)+IF($I$17=2,SpeakerCorrection2!H98,0)+IF($I$17=3,SpeakerCorrection3!H98,0)+IF($I$17=4,SpeakerCorrection4!H98,0)</f>
        <v>0</v>
      </c>
      <c r="I227" s="47"/>
    </row>
    <row r="228" spans="1:9" ht="12" customHeight="1">
      <c r="A228" s="69"/>
      <c r="B228" s="4" t="s">
        <v>14</v>
      </c>
      <c r="C228" s="5" t="s">
        <v>103</v>
      </c>
      <c r="D228" s="2" t="s">
        <v>97</v>
      </c>
      <c r="E228" s="7">
        <f>IF($I$17=1,SpeakerCorrection1!E99,0)+IF($I$17=2,SpeakerCorrection2!E99,0)+IF($I$17=3,SpeakerCorrection3!E99,0)+IF($I$17=4,SpeakerCorrection4!E99,0)</f>
        <v>0</v>
      </c>
      <c r="F228" s="7">
        <f>IF($I$17=1,SpeakerCorrection1!F99,0)+IF($I$17=2,SpeakerCorrection2!F99,0)+IF($I$17=3,SpeakerCorrection3!F99,0)+IF($I$17=4,SpeakerCorrection4!F99,0)</f>
        <v>0</v>
      </c>
      <c r="G228" s="7">
        <f>IF($I$17=1,SpeakerCorrection1!G99,0)+IF($I$17=2,SpeakerCorrection2!G99,0)+IF($I$17=3,SpeakerCorrection3!G99,0)+IF($I$17=4,SpeakerCorrection4!G99,0)</f>
        <v>0</v>
      </c>
      <c r="H228" s="7">
        <f>IF($I$17=1,SpeakerCorrection1!H99,0)+IF($I$17=2,SpeakerCorrection2!H99,0)+IF($I$17=3,SpeakerCorrection3!H99,0)+IF($I$17=4,SpeakerCorrection4!H99,0)</f>
        <v>0</v>
      </c>
      <c r="I228" s="47"/>
    </row>
  </sheetData>
  <sheetProtection password="BF23" sheet="1" objects="1" scenarios="1"/>
  <mergeCells count="20">
    <mergeCell ref="A23:A30"/>
    <mergeCell ref="A185:A206"/>
    <mergeCell ref="A207:A228"/>
    <mergeCell ref="A1:G1"/>
    <mergeCell ref="A119:A140"/>
    <mergeCell ref="A141:A162"/>
    <mergeCell ref="A18:A19"/>
    <mergeCell ref="A31:A37"/>
    <mergeCell ref="A38:A45"/>
    <mergeCell ref="A46:A52"/>
    <mergeCell ref="O29:O30"/>
    <mergeCell ref="O31:O52"/>
    <mergeCell ref="O53:O74"/>
    <mergeCell ref="J29:N29"/>
    <mergeCell ref="A163:A184"/>
    <mergeCell ref="A53:A74"/>
    <mergeCell ref="A75:A96"/>
    <mergeCell ref="B20:C20"/>
    <mergeCell ref="A97:A118"/>
    <mergeCell ref="H16:I16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headerFooter alignWithMargins="0">
    <oddHeader>&amp;R&amp;P/&amp;N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5" width="9.125" style="0" bestFit="1" customWidth="1"/>
    <col min="8" max="8" width="9.50390625" style="0" bestFit="1" customWidth="1"/>
    <col min="10" max="15" width="11.125" style="0" customWidth="1"/>
  </cols>
  <sheetData>
    <row r="1" spans="1:10" ht="15" customHeight="1">
      <c r="A1" s="75" t="s">
        <v>138</v>
      </c>
      <c r="B1" s="76"/>
      <c r="C1" s="76"/>
      <c r="D1" s="76"/>
      <c r="E1" s="76"/>
      <c r="F1" s="76"/>
      <c r="G1" s="77"/>
      <c r="H1" s="28" t="s">
        <v>123</v>
      </c>
      <c r="I1" s="29" t="s">
        <v>122</v>
      </c>
      <c r="J1" s="50" t="s">
        <v>108</v>
      </c>
    </row>
    <row r="2" spans="1:17" ht="15" customHeight="1">
      <c r="A2" s="21"/>
      <c r="B2" s="22"/>
      <c r="C2" s="22"/>
      <c r="D2" s="22"/>
      <c r="E2" s="22"/>
      <c r="F2" s="22"/>
      <c r="G2" s="22"/>
      <c r="H2" s="22"/>
      <c r="I2" s="23"/>
      <c r="J2" s="51" t="s">
        <v>109</v>
      </c>
      <c r="K2" s="1"/>
      <c r="L2" s="1"/>
      <c r="M2" s="1"/>
      <c r="N2" s="1"/>
      <c r="O2" s="1"/>
      <c r="P2" s="1"/>
      <c r="Q2" s="1"/>
    </row>
    <row r="3" spans="1:17" ht="15" customHeight="1">
      <c r="A3" s="24"/>
      <c r="B3" s="25"/>
      <c r="C3" s="25"/>
      <c r="D3" s="25"/>
      <c r="E3" s="25"/>
      <c r="F3" s="25"/>
      <c r="G3" s="25"/>
      <c r="H3" s="25"/>
      <c r="I3" s="26"/>
      <c r="J3" s="1" t="s">
        <v>111</v>
      </c>
      <c r="K3" s="1"/>
      <c r="L3" s="1"/>
      <c r="M3" s="1"/>
      <c r="N3" s="1"/>
      <c r="O3" s="1"/>
      <c r="P3" s="1"/>
      <c r="Q3" s="1"/>
    </row>
    <row r="4" spans="1:17" ht="15" customHeight="1">
      <c r="A4" s="24"/>
      <c r="B4" s="25"/>
      <c r="C4" s="25"/>
      <c r="D4" s="25"/>
      <c r="E4" s="25"/>
      <c r="F4" s="25"/>
      <c r="G4" s="25"/>
      <c r="H4" s="25"/>
      <c r="I4" s="26"/>
      <c r="J4" s="1" t="s">
        <v>112</v>
      </c>
      <c r="K4" s="1"/>
      <c r="L4" s="1"/>
      <c r="M4" s="1"/>
      <c r="N4" s="1"/>
      <c r="O4" s="1"/>
      <c r="P4" s="1"/>
      <c r="Q4" s="1"/>
    </row>
    <row r="5" spans="1:17" ht="15" customHeight="1">
      <c r="A5" s="24"/>
      <c r="B5" s="25"/>
      <c r="C5" s="25"/>
      <c r="D5" s="25"/>
      <c r="E5" s="25"/>
      <c r="F5" s="25"/>
      <c r="G5" s="25"/>
      <c r="H5" s="25"/>
      <c r="I5" s="26"/>
      <c r="J5" s="1" t="s">
        <v>113</v>
      </c>
      <c r="K5" s="1"/>
      <c r="L5" s="1"/>
      <c r="M5" s="1"/>
      <c r="N5" s="1"/>
      <c r="O5" s="1"/>
      <c r="P5" s="1"/>
      <c r="Q5" s="1"/>
    </row>
    <row r="6" spans="1:17" ht="15" customHeight="1">
      <c r="A6" s="24"/>
      <c r="B6" s="25"/>
      <c r="C6" s="25"/>
      <c r="D6" s="25"/>
      <c r="E6" s="25"/>
      <c r="F6" s="25"/>
      <c r="G6" s="25"/>
      <c r="H6" s="25"/>
      <c r="I6" s="26"/>
      <c r="J6" s="51" t="s">
        <v>110</v>
      </c>
      <c r="K6" s="1"/>
      <c r="L6" s="1"/>
      <c r="M6" s="1"/>
      <c r="N6" s="1"/>
      <c r="O6" s="1"/>
      <c r="P6" s="1"/>
      <c r="Q6" s="1"/>
    </row>
    <row r="7" spans="1:17" ht="15" customHeight="1">
      <c r="A7" s="24"/>
      <c r="B7" s="25"/>
      <c r="C7" s="25"/>
      <c r="D7" s="25"/>
      <c r="E7" s="25"/>
      <c r="F7" s="25"/>
      <c r="G7" s="25"/>
      <c r="H7" s="25"/>
      <c r="I7" s="26"/>
      <c r="J7" s="1" t="s">
        <v>114</v>
      </c>
      <c r="K7" s="1"/>
      <c r="L7" s="1"/>
      <c r="M7" s="1"/>
      <c r="N7" s="1"/>
      <c r="O7" s="1"/>
      <c r="P7" s="1"/>
      <c r="Q7" s="1"/>
    </row>
    <row r="8" spans="1:17" ht="15" customHeight="1">
      <c r="A8" s="24"/>
      <c r="B8" s="25"/>
      <c r="C8" s="25"/>
      <c r="D8" s="25"/>
      <c r="E8" s="25"/>
      <c r="F8" s="25"/>
      <c r="G8" s="25"/>
      <c r="H8" s="25"/>
      <c r="I8" s="26"/>
      <c r="J8" s="1" t="s">
        <v>115</v>
      </c>
      <c r="K8" s="1"/>
      <c r="L8" s="1"/>
      <c r="M8" s="1"/>
      <c r="N8" s="1"/>
      <c r="O8" s="1"/>
      <c r="P8" s="1"/>
      <c r="Q8" s="1"/>
    </row>
    <row r="9" spans="1:17" ht="15" customHeight="1">
      <c r="A9" s="24"/>
      <c r="B9" s="25"/>
      <c r="C9" s="25"/>
      <c r="D9" s="25"/>
      <c r="E9" s="25"/>
      <c r="F9" s="25"/>
      <c r="G9" s="25"/>
      <c r="H9" s="25"/>
      <c r="I9" s="26"/>
      <c r="J9" s="1" t="s">
        <v>116</v>
      </c>
      <c r="K9" s="1"/>
      <c r="L9" s="1"/>
      <c r="M9" s="1"/>
      <c r="N9" s="1"/>
      <c r="O9" s="1"/>
      <c r="P9" s="1"/>
      <c r="Q9" s="1"/>
    </row>
    <row r="10" spans="1:17" ht="15" customHeight="1">
      <c r="A10" s="24"/>
      <c r="B10" s="25"/>
      <c r="C10" s="25"/>
      <c r="D10" s="25"/>
      <c r="E10" s="25"/>
      <c r="F10" s="25"/>
      <c r="G10" s="25"/>
      <c r="H10" s="25"/>
      <c r="I10" s="26"/>
      <c r="J10" s="1" t="s">
        <v>117</v>
      </c>
      <c r="K10" s="1"/>
      <c r="L10" s="1"/>
      <c r="M10" s="1"/>
      <c r="N10" s="1"/>
      <c r="O10" s="1"/>
      <c r="P10" s="1"/>
      <c r="Q10" s="1"/>
    </row>
    <row r="11" spans="1:17" ht="15" customHeight="1">
      <c r="A11" s="24"/>
      <c r="B11" s="25"/>
      <c r="C11" s="25"/>
      <c r="D11" s="25"/>
      <c r="E11" s="25"/>
      <c r="F11" s="25"/>
      <c r="G11" s="25"/>
      <c r="H11" s="25"/>
      <c r="I11" s="26"/>
      <c r="J11" s="1" t="s">
        <v>118</v>
      </c>
      <c r="K11" s="1"/>
      <c r="L11" s="1"/>
      <c r="M11" s="1"/>
      <c r="N11" s="1"/>
      <c r="O11" s="1"/>
      <c r="P11" s="1"/>
      <c r="Q11" s="1"/>
    </row>
    <row r="12" spans="1:17" ht="15" customHeight="1">
      <c r="A12" s="24"/>
      <c r="B12" s="25"/>
      <c r="C12" s="25"/>
      <c r="D12" s="25"/>
      <c r="E12" s="25"/>
      <c r="F12" s="25"/>
      <c r="G12" s="25"/>
      <c r="H12" s="25"/>
      <c r="I12" s="26"/>
      <c r="J12" s="1" t="s">
        <v>120</v>
      </c>
      <c r="K12" s="1"/>
      <c r="L12" s="1"/>
      <c r="M12" s="1"/>
      <c r="N12" s="1"/>
      <c r="O12" s="1"/>
      <c r="P12" s="1"/>
      <c r="Q12" s="1"/>
    </row>
    <row r="13" spans="1:17" ht="15" customHeight="1">
      <c r="A13" s="24"/>
      <c r="B13" s="25"/>
      <c r="C13" s="25"/>
      <c r="D13" s="25"/>
      <c r="E13" s="25"/>
      <c r="F13" s="25"/>
      <c r="G13" s="25"/>
      <c r="H13" s="25"/>
      <c r="I13" s="26"/>
      <c r="J13" s="1" t="s">
        <v>119</v>
      </c>
      <c r="K13" s="1"/>
      <c r="L13" s="1"/>
      <c r="M13" s="1"/>
      <c r="N13" s="1"/>
      <c r="O13" s="1"/>
      <c r="P13" s="1"/>
      <c r="Q13" s="1"/>
    </row>
    <row r="14" spans="1:17" ht="15" customHeight="1">
      <c r="A14" s="24"/>
      <c r="B14" s="25"/>
      <c r="C14" s="25"/>
      <c r="D14" s="25"/>
      <c r="E14" s="25"/>
      <c r="F14" s="25"/>
      <c r="G14" s="25"/>
      <c r="H14" s="25"/>
      <c r="I14" s="26"/>
      <c r="J14" s="91" t="s">
        <v>181</v>
      </c>
      <c r="K14" s="1"/>
      <c r="L14" s="1"/>
      <c r="M14" s="1"/>
      <c r="N14" s="1"/>
      <c r="O14" s="1"/>
      <c r="P14" s="1"/>
      <c r="Q14" s="1"/>
    </row>
    <row r="15" spans="1:17" ht="15" customHeight="1">
      <c r="A15" s="24"/>
      <c r="B15" s="25"/>
      <c r="C15" s="25"/>
      <c r="D15" s="25"/>
      <c r="E15" s="25"/>
      <c r="F15" s="25"/>
      <c r="G15" s="25"/>
      <c r="H15" s="25"/>
      <c r="I15" s="26"/>
      <c r="J15" s="90" t="s">
        <v>182</v>
      </c>
      <c r="K15" s="1"/>
      <c r="L15" s="1"/>
      <c r="M15" s="1"/>
      <c r="N15" s="1"/>
      <c r="O15" s="1"/>
      <c r="P15" s="1"/>
      <c r="Q15" s="1"/>
    </row>
    <row r="16" spans="1:17" ht="15" customHeight="1">
      <c r="A16" s="11" t="s">
        <v>69</v>
      </c>
      <c r="B16" s="10" t="s">
        <v>76</v>
      </c>
      <c r="C16" s="11" t="s">
        <v>135</v>
      </c>
      <c r="D16" s="2" t="s">
        <v>103</v>
      </c>
      <c r="E16" s="15">
        <v>200</v>
      </c>
      <c r="F16" s="15">
        <v>1000</v>
      </c>
      <c r="G16" s="15">
        <v>5000</v>
      </c>
      <c r="H16" s="65" t="s">
        <v>180</v>
      </c>
      <c r="I16" s="66"/>
      <c r="J16" s="92" t="s">
        <v>183</v>
      </c>
      <c r="K16" s="1"/>
      <c r="L16" s="1"/>
      <c r="M16" s="1"/>
      <c r="N16" s="1"/>
      <c r="O16" s="1"/>
      <c r="P16" s="1"/>
      <c r="Q16" s="1"/>
    </row>
    <row r="17" spans="1:17" ht="15" customHeight="1">
      <c r="A17" s="33" t="s">
        <v>70</v>
      </c>
      <c r="B17" s="10" t="s">
        <v>77</v>
      </c>
      <c r="C17" s="11"/>
      <c r="D17" s="2" t="s">
        <v>101</v>
      </c>
      <c r="E17" s="42" t="s">
        <v>137</v>
      </c>
      <c r="F17" s="30"/>
      <c r="G17" s="30"/>
      <c r="H17" s="35" t="s">
        <v>90</v>
      </c>
      <c r="I17" s="36"/>
      <c r="J17" s="90" t="s">
        <v>184</v>
      </c>
      <c r="K17" s="1"/>
      <c r="L17" s="1"/>
      <c r="M17" s="1"/>
      <c r="N17" s="1"/>
      <c r="O17" s="1"/>
      <c r="P17" s="1"/>
      <c r="Q17" s="1"/>
    </row>
    <row r="18" spans="1:17" ht="15" customHeight="1">
      <c r="A18" s="78" t="s">
        <v>71</v>
      </c>
      <c r="B18" s="10" t="s">
        <v>78</v>
      </c>
      <c r="C18" s="11" t="s">
        <v>130</v>
      </c>
      <c r="D18" s="2" t="s">
        <v>104</v>
      </c>
      <c r="E18" s="3">
        <f>$I$21*10^3/(2*PI()*E$16)*2^0.5</f>
        <v>6.7523723711782955</v>
      </c>
      <c r="F18" s="3">
        <f>$I$21*10^3/(2*PI()*F$16)*2^0.5</f>
        <v>1.3504744742356594</v>
      </c>
      <c r="G18" s="3">
        <f>$I$21*10^3/(2*PI()*G$16)*2^0.5</f>
        <v>0.27009489484713184</v>
      </c>
      <c r="H18" s="3"/>
      <c r="I18" s="3"/>
      <c r="J18" s="90" t="s">
        <v>185</v>
      </c>
      <c r="K18" s="1"/>
      <c r="L18" s="1"/>
      <c r="M18" s="1"/>
      <c r="N18" s="1"/>
      <c r="O18" s="1"/>
      <c r="P18" s="1"/>
      <c r="Q18" s="1"/>
    </row>
    <row r="19" spans="1:17" ht="15" customHeight="1">
      <c r="A19" s="79"/>
      <c r="B19" s="10" t="s">
        <v>79</v>
      </c>
      <c r="C19" s="11" t="s">
        <v>131</v>
      </c>
      <c r="D19" s="52" t="s">
        <v>105</v>
      </c>
      <c r="E19" s="3">
        <f>10^6/(2*PI()*E$16*$I$21)/2^0.5</f>
        <v>93.78294959969855</v>
      </c>
      <c r="F19" s="3">
        <f>10^6/(2*PI()*F$16*$I$21)/2^0.5</f>
        <v>18.75658991993971</v>
      </c>
      <c r="G19" s="3">
        <f>10^6/(2*PI()*G$16*$I$21)/2^0.5</f>
        <v>3.751317983987942</v>
      </c>
      <c r="H19" s="3"/>
      <c r="I19" s="3"/>
      <c r="J19" s="90" t="s">
        <v>186</v>
      </c>
      <c r="K19" s="1"/>
      <c r="L19" s="1"/>
      <c r="M19" s="1"/>
      <c r="N19" s="1"/>
      <c r="O19" s="1"/>
      <c r="P19" s="1"/>
      <c r="Q19" s="1"/>
    </row>
    <row r="20" spans="1:17" ht="12" customHeight="1">
      <c r="A20" s="27" t="s">
        <v>72</v>
      </c>
      <c r="B20" s="70" t="s">
        <v>80</v>
      </c>
      <c r="C20" s="71"/>
      <c r="D20" s="27" t="s">
        <v>88</v>
      </c>
      <c r="E20" s="2" t="s">
        <v>121</v>
      </c>
      <c r="F20" s="2" t="s">
        <v>124</v>
      </c>
      <c r="G20" s="2" t="s">
        <v>128</v>
      </c>
      <c r="H20" s="31" t="s">
        <v>136</v>
      </c>
      <c r="I20" s="2" t="s">
        <v>125</v>
      </c>
      <c r="J20" s="90" t="s">
        <v>187</v>
      </c>
      <c r="K20" s="1"/>
      <c r="L20" s="1"/>
      <c r="M20" s="1"/>
      <c r="N20" s="1"/>
      <c r="O20" s="1"/>
      <c r="P20" s="1"/>
      <c r="Q20" s="1"/>
    </row>
    <row r="21" spans="1:17" ht="12" customHeight="1">
      <c r="A21" s="11" t="s">
        <v>73</v>
      </c>
      <c r="B21" s="13" t="s">
        <v>142</v>
      </c>
      <c r="C21" s="14" t="s">
        <v>56</v>
      </c>
      <c r="D21" s="2" t="s">
        <v>100</v>
      </c>
      <c r="E21" s="38">
        <v>6</v>
      </c>
      <c r="F21" s="38">
        <v>6</v>
      </c>
      <c r="G21" s="38">
        <v>6</v>
      </c>
      <c r="H21" s="38">
        <v>6</v>
      </c>
      <c r="I21" s="16">
        <v>6</v>
      </c>
      <c r="J21" s="90" t="s">
        <v>188</v>
      </c>
      <c r="K21" s="1"/>
      <c r="L21" s="1"/>
      <c r="M21" s="1"/>
      <c r="N21" s="1"/>
      <c r="O21" s="1"/>
      <c r="P21" s="1"/>
      <c r="Q21" s="1"/>
    </row>
    <row r="22" spans="1:17" ht="12" customHeight="1">
      <c r="A22" s="10" t="s">
        <v>74</v>
      </c>
      <c r="B22" s="13" t="s">
        <v>142</v>
      </c>
      <c r="C22" s="11" t="s">
        <v>62</v>
      </c>
      <c r="D22" s="2" t="s">
        <v>157</v>
      </c>
      <c r="E22" s="38">
        <v>91</v>
      </c>
      <c r="F22" s="38">
        <v>91</v>
      </c>
      <c r="G22" s="38">
        <v>91</v>
      </c>
      <c r="H22" s="38">
        <v>91</v>
      </c>
      <c r="I22" s="8">
        <v>91</v>
      </c>
      <c r="J22" s="1"/>
      <c r="K22" s="1"/>
      <c r="L22" s="1"/>
      <c r="M22" s="1"/>
      <c r="N22" s="1"/>
      <c r="O22" s="1"/>
      <c r="P22" s="1"/>
      <c r="Q22" s="1"/>
    </row>
    <row r="23" spans="1:17" ht="12" customHeight="1">
      <c r="A23" s="72" t="s">
        <v>75</v>
      </c>
      <c r="B23" s="10" t="s">
        <v>84</v>
      </c>
      <c r="C23" s="11" t="s">
        <v>155</v>
      </c>
      <c r="D23" s="2" t="s">
        <v>107</v>
      </c>
      <c r="E23" s="8">
        <v>6</v>
      </c>
      <c r="F23" s="8">
        <v>6</v>
      </c>
      <c r="G23" s="8">
        <v>6</v>
      </c>
      <c r="H23" s="8">
        <v>6</v>
      </c>
      <c r="I23" s="20"/>
      <c r="J23" s="1"/>
      <c r="K23" s="1"/>
      <c r="L23" s="1"/>
      <c r="M23" s="1"/>
      <c r="N23" s="1"/>
      <c r="O23" s="1"/>
      <c r="P23" s="1"/>
      <c r="Q23" s="1"/>
    </row>
    <row r="24" spans="1:17" ht="12" customHeight="1">
      <c r="A24" s="73"/>
      <c r="B24" s="10" t="s">
        <v>81</v>
      </c>
      <c r="C24" s="11" t="s">
        <v>156</v>
      </c>
      <c r="D24" s="2" t="s">
        <v>106</v>
      </c>
      <c r="E24" s="8">
        <v>91</v>
      </c>
      <c r="F24" s="8">
        <v>91</v>
      </c>
      <c r="G24" s="8">
        <v>91</v>
      </c>
      <c r="H24" s="8">
        <v>91</v>
      </c>
      <c r="I24" s="12"/>
      <c r="J24" s="1"/>
      <c r="K24" s="1"/>
      <c r="L24" s="1"/>
      <c r="M24" s="1"/>
      <c r="N24" s="1"/>
      <c r="O24" s="1"/>
      <c r="P24" s="1"/>
      <c r="Q24" s="1"/>
    </row>
    <row r="25" spans="1:17" ht="12" customHeight="1">
      <c r="A25" s="73"/>
      <c r="B25" s="10" t="s">
        <v>82</v>
      </c>
      <c r="C25" s="11" t="s">
        <v>1</v>
      </c>
      <c r="D25" s="2"/>
      <c r="E25" s="9">
        <v>1</v>
      </c>
      <c r="F25" s="9">
        <v>1</v>
      </c>
      <c r="G25" s="9">
        <v>1</v>
      </c>
      <c r="H25" s="9">
        <v>1</v>
      </c>
      <c r="I25" s="12"/>
      <c r="J25" s="1"/>
      <c r="K25" s="1"/>
      <c r="L25" s="1"/>
      <c r="M25" s="1"/>
      <c r="N25" s="1"/>
      <c r="O25" s="1"/>
      <c r="P25" s="1"/>
      <c r="Q25" s="1"/>
    </row>
    <row r="26" spans="1:17" ht="12" customHeight="1">
      <c r="A26" s="73"/>
      <c r="B26" s="10" t="s">
        <v>83</v>
      </c>
      <c r="C26" s="11" t="s">
        <v>126</v>
      </c>
      <c r="D26" s="2" t="s">
        <v>107</v>
      </c>
      <c r="E26" s="12" t="str">
        <f>IF(E$21*E$22*E$23*E$24=0,"",IF(E$25=0,"",IF(E$22&gt;E$24+10*LOG(E$21/E$23),"Unable",IF(E$23/(10^((E$22-E$24-10*LOG(E$21/E$23))/20))-E$21=0,"Blank",IF(E$25=0,"",E$21*E$23/ABS(E$23/(10^((E$22-E$24-10*LOG(E$21/E$23))/20))-E$21))))))</f>
        <v>Blank</v>
      </c>
      <c r="F26" s="12" t="str">
        <f>IF(F$21*F$22*F$23*F$24=0,"",IF(F$25=0,"",IF(F$22&gt;F$24+10*LOG(F$21/F$23),"Unable",IF(F$23/(10^((F$22-F$24-10*LOG(F$21/F$23))/20))-F$21=0,"Blank",IF(F$25=0,"",F$21*F$23/ABS(F$23/(10^((F$22-F$24-10*LOG(F$21/F$23))/20))-F$21))))))</f>
        <v>Blank</v>
      </c>
      <c r="G26" s="12" t="str">
        <f>IF(G$21*G$22*G$23*G$24=0,"",IF(G$25=0,"",IF(G$22&gt;G$24+10*LOG(G$21/G$23),"Unable",IF(G$23/(10^((G$22-G$24-10*LOG(G$21/G$23))/20))-G$21=0,"Blank",IF(G$25=0,"",G$21*G$23/ABS(G$23/(10^((G$22-G$24-10*LOG(G$21/G$23))/20))-G$21))))))</f>
        <v>Blank</v>
      </c>
      <c r="H26" s="12" t="str">
        <f>IF(H$21*H$22*H$23*H$24=0,"",IF(H$25=0,"",IF(H$22&gt;H$24+10*LOG(H$21/H$23),"Unable",IF(H$23/(10^((H$22-H$24-10*LOG(H$21/H$23))/20))-H$21=0,"Blank",IF(H$25=0,"",H$21*H$23/ABS(H$23/(10^((H$22-H$24-10*LOG(H$21/H$23))/20))-H$21))))))</f>
        <v>Blank</v>
      </c>
      <c r="I26" s="20"/>
      <c r="J26" s="1"/>
      <c r="K26" s="1"/>
      <c r="L26" s="1"/>
      <c r="M26" s="1"/>
      <c r="N26" s="1"/>
      <c r="O26" s="1"/>
      <c r="P26" s="1"/>
      <c r="Q26" s="1"/>
    </row>
    <row r="27" spans="1:17" ht="12" customHeight="1">
      <c r="A27" s="73"/>
      <c r="B27" s="10" t="s">
        <v>85</v>
      </c>
      <c r="C27" s="11" t="s">
        <v>127</v>
      </c>
      <c r="D27" s="2" t="s">
        <v>107</v>
      </c>
      <c r="E27" s="12">
        <f>IF(E$21*E$22*E$23*E$24=0,"",IF(E$25=0,"",IF(E$24+E$30&lt;E$22,"Unable",IF(E$26="Unable","Unable",IF(E$26="Blank",E$21-E$23,E$21-E$26*E$23/(E$26+E$23))))))</f>
        <v>0</v>
      </c>
      <c r="F27" s="12">
        <f>IF(F$21*F$22*F$23*F$24=0,"",IF(F$25=0,"",IF(F$24+F$30&lt;F$22,"Unable",IF(F$26="Unable","Unable",IF(F$26="Blank",F$21-F$23,F$21-F$26*F$23/(F$26+F$23))))))</f>
        <v>0</v>
      </c>
      <c r="G27" s="12">
        <f>IF(G$21*G$22*G$23*G$24=0,"",IF(G$25=0,"",IF(G$24+G$30&lt;G$22,"Unable",IF(G$26="Unable","Unable",IF(G$26="Blank",G$21-G$23,G$21-G$26*G$23/(G$26+G$23))))))</f>
        <v>0</v>
      </c>
      <c r="H27" s="12">
        <f>IF(H$21*H$22*H$23*H$24=0,"",IF(H$25=0,"",IF(H$24+H$30&lt;H$22,"Unable",IF(H$26="Unable","Unable",IF(H$26="Blank",H$21-H$23,H$21-H$26*H$23/(H$26+H$23))))))</f>
        <v>0</v>
      </c>
      <c r="I27" s="12"/>
      <c r="J27" s="1"/>
      <c r="K27" s="1"/>
      <c r="L27" s="1"/>
      <c r="M27" s="1"/>
      <c r="N27" s="1"/>
      <c r="O27" s="1"/>
      <c r="P27" s="1"/>
      <c r="Q27" s="1"/>
    </row>
    <row r="28" spans="1:17" ht="12" customHeight="1">
      <c r="A28" s="73"/>
      <c r="B28" s="10" t="s">
        <v>86</v>
      </c>
      <c r="C28" s="19" t="s">
        <v>57</v>
      </c>
      <c r="D28" s="2" t="s">
        <v>107</v>
      </c>
      <c r="E28" s="20">
        <f>IF(E$21*E$22*E$23*E$24=0,"",IF(E$25=1,E$21,E$23))</f>
        <v>6</v>
      </c>
      <c r="F28" s="20">
        <f>IF(F$21*F$22*F$23*F$24=0,"",IF(F$25=1,F$21,F$23))</f>
        <v>6</v>
      </c>
      <c r="G28" s="20">
        <f>IF(G$21*G$22*G$23*G$24=0,"",IF(G$25=1,G$21,G$23))</f>
        <v>6</v>
      </c>
      <c r="H28" s="20">
        <f>IF(H$21*H$22*H$23*H$24=0,"",IF(H$25=1,H$21,H$23))</f>
        <v>6</v>
      </c>
      <c r="I28" s="12"/>
      <c r="J28" s="1"/>
      <c r="K28" s="1"/>
      <c r="L28" s="1"/>
      <c r="M28" s="1"/>
      <c r="N28" s="1"/>
      <c r="O28" s="1"/>
      <c r="P28" s="1"/>
      <c r="Q28" s="1"/>
    </row>
    <row r="29" spans="1:17" ht="12" customHeight="1">
      <c r="A29" s="73"/>
      <c r="B29" s="10" t="s">
        <v>87</v>
      </c>
      <c r="C29" s="11" t="s">
        <v>58</v>
      </c>
      <c r="D29" s="2" t="s">
        <v>89</v>
      </c>
      <c r="E29" s="12">
        <f>IF(E$21*E$22*E$23*E$24=0,"",10^(E$30/20))</f>
        <v>1</v>
      </c>
      <c r="F29" s="12">
        <f>IF(F$21*F$22*F$23*F$24=0,"",10^(F$30/20))</f>
        <v>1</v>
      </c>
      <c r="G29" s="12">
        <f>IF(G$21*G$22*G$23*G$24=0,"",10^(G$30/20))</f>
        <v>1</v>
      </c>
      <c r="H29" s="12">
        <f>IF(H$21*H$22*H$23*H$24=0,"",10^(H$30/20))</f>
        <v>1</v>
      </c>
      <c r="I29" s="12"/>
      <c r="J29" s="62" t="s">
        <v>173</v>
      </c>
      <c r="K29" s="63"/>
      <c r="L29" s="63"/>
      <c r="M29" s="63"/>
      <c r="N29" s="64"/>
      <c r="O29" s="57"/>
      <c r="P29" s="1"/>
      <c r="Q29" s="1"/>
    </row>
    <row r="30" spans="1:17" ht="12" customHeight="1">
      <c r="A30" s="74"/>
      <c r="B30" s="10" t="s">
        <v>87</v>
      </c>
      <c r="C30" s="11" t="s">
        <v>58</v>
      </c>
      <c r="D30" s="2" t="s">
        <v>98</v>
      </c>
      <c r="E30" s="12">
        <f>IF(E$21*E$22*E$23*E$24=0,"",IF(E$25=1,0,E$24-E$22+10*LOG(E$21/E$23)))</f>
        <v>0</v>
      </c>
      <c r="F30" s="12">
        <f>IF(F$21*F$22*F$23*F$24=0,"",IF(F$25=1,0,F$24-F$22+10*LOG(F$21/F$23)))</f>
        <v>0</v>
      </c>
      <c r="G30" s="12">
        <f>IF(G$21*G$22*G$23*G$24=0,"",IF(G$25=1,0,G$24-G$22+10*LOG(G$21/G$23)))</f>
        <v>0</v>
      </c>
      <c r="H30" s="12">
        <f>IF(H$21*H$22*H$23*H$24=0,"",IF(H$25=1,0,H$24-H$22+10*LOG(H$21/H$23)))</f>
        <v>0</v>
      </c>
      <c r="I30" s="12"/>
      <c r="J30" s="2" t="s">
        <v>174</v>
      </c>
      <c r="K30" s="2" t="s">
        <v>175</v>
      </c>
      <c r="L30" s="2" t="s">
        <v>176</v>
      </c>
      <c r="M30" s="31" t="s">
        <v>136</v>
      </c>
      <c r="N30" s="2" t="s">
        <v>177</v>
      </c>
      <c r="O30" s="58"/>
      <c r="P30" s="1"/>
      <c r="Q30" s="1"/>
    </row>
    <row r="31" spans="1:15" ht="12" customHeight="1">
      <c r="A31" s="67" t="s">
        <v>91</v>
      </c>
      <c r="B31" s="4">
        <v>20</v>
      </c>
      <c r="C31" s="5" t="s">
        <v>103</v>
      </c>
      <c r="D31" s="53" t="s">
        <v>102</v>
      </c>
      <c r="E31" s="3">
        <f>6/(I141^2+I163^2)^0.5/$I$21</f>
        <v>6</v>
      </c>
      <c r="F31" s="6"/>
      <c r="G31" s="3"/>
      <c r="H31" s="43" t="s">
        <v>64</v>
      </c>
      <c r="I31" s="3">
        <f>10*LOG((10^((IF($H$17=0,0,E185)+E$22-$I$22+E$30+20*LOG(((1+E163*F97)^2+E141^2*F97^2)^0.5*E$28*E119/(E$28^2*(E97-E119)^2+E97^2*E119^2)^0.5))/20))^2+(10^((IF($H$17=0,0,F185)+F$22-$I$22+F$30+20*LOG(((1+E163*F97)^2+E141^2*F97^2)^0.5*F$28*E97/(F$28^2*(E97-E119)^2+E97^2*E119^2)^0.5))/20))^2+(10^((IF($H$17=0,0,G185)+G$22-$I$22+G$30+20*LOG(((1-H163*F119)^2+H141^2*F119^2)^0.5*G$28*G119/(G$28^2*(G97-G119)^2+G97^2*G119^2)^0.5))/20))^2+(10^((IF($H$17=0,0,H185)+H$22-$I$22+H$30+20*LOG(((1-H163*F119)^2+H141^2*F119^2)^0.5*H$28*G97/(H$28^2*(G97-G119)^2+G97^2*G119^2)^0.5))/20))^2)+$N31</f>
        <v>-1.446491199829931E-15</v>
      </c>
      <c r="J31" s="55"/>
      <c r="K31" s="55"/>
      <c r="L31" s="55"/>
      <c r="M31" s="55"/>
      <c r="N31" s="56">
        <v>0</v>
      </c>
      <c r="O31" s="59" t="s">
        <v>178</v>
      </c>
    </row>
    <row r="32" spans="1:15" ht="12" customHeight="1">
      <c r="A32" s="60"/>
      <c r="B32" s="4">
        <v>30</v>
      </c>
      <c r="C32" s="5" t="s">
        <v>103</v>
      </c>
      <c r="D32" s="53" t="s">
        <v>102</v>
      </c>
      <c r="E32" s="3">
        <f aca="true" t="shared" si="0" ref="E32:E52">6/(I142^2+I164^2)^0.5/$I$21</f>
        <v>6</v>
      </c>
      <c r="F32" s="6"/>
      <c r="G32" s="3"/>
      <c r="H32" s="3">
        <f>IF(ABS($I76-$I75)&gt;180,ABS(360-ABS($I76-$I75))/($B98-$B97),ABS($I76-$I75)/($B98-$B97))*10</f>
        <v>4.932482873075614</v>
      </c>
      <c r="I32" s="3">
        <f aca="true" t="shared" si="1" ref="I32:I52">10*LOG((10^((IF($H$17=0,0,E186)+E$22-$I$22+E$30+20*LOG(((1+E164*F98)^2+E142^2*F98^2)^0.5*E$28*E120/(E$28^2*(E98-E120)^2+E98^2*E120^2)^0.5))/20))^2+(10^((IF($H$17=0,0,F186)+F$22-$I$22+F$30+20*LOG(((1+E164*F98)^2+E142^2*F98^2)^0.5*F$28*E98/(F$28^2*(E98-E120)^2+E98^2*E120^2)^0.5))/20))^2+(10^((IF($H$17=0,0,G186)+G$22-$I$22+G$30+20*LOG(((1-H164*F120)^2+H142^2*F120^2)^0.5*G$28*G120/(G$28^2*(G98-G120)^2+G98^2*G120^2)^0.5))/20))^2+(10^((IF($H$17=0,0,H186)+H$22-$I$22+H$30+20*LOG(((1-H164*F120)^2+H142^2*F120^2)^0.5*H$28*G98/(H$28^2*(G98-G120)^2+G98^2*G120^2)^0.5))/20))^2)+$N32</f>
        <v>0</v>
      </c>
      <c r="J32" s="55"/>
      <c r="K32" s="55"/>
      <c r="L32" s="55"/>
      <c r="M32" s="55"/>
      <c r="N32" s="56">
        <v>0</v>
      </c>
      <c r="O32" s="60"/>
    </row>
    <row r="33" spans="1:15" ht="12" customHeight="1">
      <c r="A33" s="60"/>
      <c r="B33" s="4">
        <v>40</v>
      </c>
      <c r="C33" s="5" t="s">
        <v>103</v>
      </c>
      <c r="D33" s="53" t="s">
        <v>102</v>
      </c>
      <c r="E33" s="3">
        <f t="shared" si="0"/>
        <v>5.999999999999999</v>
      </c>
      <c r="F33" s="6"/>
      <c r="G33" s="3"/>
      <c r="H33" s="3">
        <f aca="true" t="shared" si="2" ref="H33:H52">IF(ABS($I77-$I76)&gt;180,ABS(360-ABS($I77-$I76))/($B99-$B98),ABS($I77-$I76)/($B99-$B98))*10</f>
        <v>4.997262728913114</v>
      </c>
      <c r="I33" s="3">
        <f t="shared" si="1"/>
        <v>0</v>
      </c>
      <c r="J33" s="55"/>
      <c r="K33" s="55"/>
      <c r="L33" s="55"/>
      <c r="M33" s="55"/>
      <c r="N33" s="56">
        <v>0</v>
      </c>
      <c r="O33" s="60"/>
    </row>
    <row r="34" spans="1:15" ht="12" customHeight="1">
      <c r="A34" s="60"/>
      <c r="B34" s="4">
        <v>50</v>
      </c>
      <c r="C34" s="5" t="s">
        <v>103</v>
      </c>
      <c r="D34" s="53" t="s">
        <v>102</v>
      </c>
      <c r="E34" s="3">
        <f t="shared" si="0"/>
        <v>6</v>
      </c>
      <c r="F34" s="6"/>
      <c r="G34" s="3"/>
      <c r="H34" s="3">
        <f t="shared" si="2"/>
        <v>5.080096061284365</v>
      </c>
      <c r="I34" s="3">
        <f t="shared" si="1"/>
        <v>0</v>
      </c>
      <c r="J34" s="55"/>
      <c r="K34" s="55"/>
      <c r="L34" s="55"/>
      <c r="M34" s="55"/>
      <c r="N34" s="56">
        <v>0</v>
      </c>
      <c r="O34" s="60"/>
    </row>
    <row r="35" spans="1:15" ht="12" customHeight="1">
      <c r="A35" s="60"/>
      <c r="B35" s="4">
        <v>70</v>
      </c>
      <c r="C35" s="5" t="s">
        <v>103</v>
      </c>
      <c r="D35" s="53" t="s">
        <v>102</v>
      </c>
      <c r="E35" s="3">
        <f t="shared" si="0"/>
        <v>5.999999999999999</v>
      </c>
      <c r="F35" s="6"/>
      <c r="G35" s="3"/>
      <c r="H35" s="3">
        <f t="shared" si="2"/>
        <v>5.231962601155665</v>
      </c>
      <c r="I35" s="3">
        <f t="shared" si="1"/>
        <v>2.8929823996598604E-15</v>
      </c>
      <c r="J35" s="55"/>
      <c r="K35" s="55"/>
      <c r="L35" s="55"/>
      <c r="M35" s="55"/>
      <c r="N35" s="56">
        <v>0</v>
      </c>
      <c r="O35" s="60"/>
    </row>
    <row r="36" spans="1:15" ht="12" customHeight="1">
      <c r="A36" s="60"/>
      <c r="B36" s="4">
        <v>100</v>
      </c>
      <c r="C36" s="5" t="s">
        <v>103</v>
      </c>
      <c r="D36" s="53" t="s">
        <v>102</v>
      </c>
      <c r="E36" s="3">
        <f t="shared" si="0"/>
        <v>6</v>
      </c>
      <c r="F36" s="6"/>
      <c r="G36" s="3"/>
      <c r="H36" s="3">
        <f t="shared" si="2"/>
        <v>5.5108378443545805</v>
      </c>
      <c r="I36" s="3">
        <f t="shared" si="1"/>
        <v>0</v>
      </c>
      <c r="J36" s="55"/>
      <c r="K36" s="55"/>
      <c r="L36" s="55"/>
      <c r="M36" s="55"/>
      <c r="N36" s="56">
        <v>0</v>
      </c>
      <c r="O36" s="60"/>
    </row>
    <row r="37" spans="1:15" ht="12" customHeight="1">
      <c r="A37" s="60"/>
      <c r="B37" s="4">
        <v>150</v>
      </c>
      <c r="C37" s="5" t="s">
        <v>103</v>
      </c>
      <c r="D37" s="53" t="s">
        <v>102</v>
      </c>
      <c r="E37" s="3">
        <f t="shared" si="0"/>
        <v>5.999999999999999</v>
      </c>
      <c r="F37" s="6"/>
      <c r="G37" s="3"/>
      <c r="H37" s="3">
        <f t="shared" si="2"/>
        <v>5.786976260675299</v>
      </c>
      <c r="I37" s="3">
        <f t="shared" si="1"/>
        <v>-4.821637332766436E-16</v>
      </c>
      <c r="J37" s="55"/>
      <c r="K37" s="55"/>
      <c r="L37" s="55"/>
      <c r="M37" s="55"/>
      <c r="N37" s="56">
        <v>0</v>
      </c>
      <c r="O37" s="60"/>
    </row>
    <row r="38" spans="1:15" ht="12" customHeight="1">
      <c r="A38" s="68" t="s">
        <v>129</v>
      </c>
      <c r="B38" s="4">
        <v>200</v>
      </c>
      <c r="C38" s="5" t="s">
        <v>103</v>
      </c>
      <c r="D38" s="53" t="s">
        <v>102</v>
      </c>
      <c r="E38" s="3">
        <f t="shared" si="0"/>
        <v>5.999999999999999</v>
      </c>
      <c r="F38" s="6"/>
      <c r="G38" s="3"/>
      <c r="H38" s="3">
        <f t="shared" si="2"/>
        <v>5.46887361270905</v>
      </c>
      <c r="I38" s="3">
        <f t="shared" si="1"/>
        <v>0</v>
      </c>
      <c r="J38" s="55"/>
      <c r="K38" s="55"/>
      <c r="L38" s="55"/>
      <c r="M38" s="55"/>
      <c r="N38" s="56">
        <v>0</v>
      </c>
      <c r="O38" s="60"/>
    </row>
    <row r="39" spans="1:15" ht="12" customHeight="1">
      <c r="A39" s="60"/>
      <c r="B39" s="4">
        <v>300</v>
      </c>
      <c r="C39" s="5" t="s">
        <v>103</v>
      </c>
      <c r="D39" s="53" t="s">
        <v>102</v>
      </c>
      <c r="E39" s="3">
        <f t="shared" si="0"/>
        <v>6</v>
      </c>
      <c r="F39" s="6"/>
      <c r="G39" s="3"/>
      <c r="H39" s="3">
        <f t="shared" si="2"/>
        <v>4.089471679910225</v>
      </c>
      <c r="I39" s="3">
        <f t="shared" si="1"/>
        <v>-2.410818666383218E-15</v>
      </c>
      <c r="J39" s="55"/>
      <c r="K39" s="55"/>
      <c r="L39" s="55"/>
      <c r="M39" s="55"/>
      <c r="N39" s="56">
        <v>0</v>
      </c>
      <c r="O39" s="60"/>
    </row>
    <row r="40" spans="1:15" ht="12" customHeight="1">
      <c r="A40" s="60"/>
      <c r="B40" s="4">
        <v>400</v>
      </c>
      <c r="C40" s="5" t="s">
        <v>103</v>
      </c>
      <c r="D40" s="53" t="s">
        <v>102</v>
      </c>
      <c r="E40" s="3">
        <f t="shared" si="0"/>
        <v>6</v>
      </c>
      <c r="F40" s="6"/>
      <c r="G40" s="3"/>
      <c r="H40" s="3">
        <f t="shared" si="2"/>
        <v>2.704745017049515</v>
      </c>
      <c r="I40" s="3">
        <f t="shared" si="1"/>
        <v>-9.643274665532871E-16</v>
      </c>
      <c r="J40" s="55"/>
      <c r="K40" s="55"/>
      <c r="L40" s="55"/>
      <c r="M40" s="55"/>
      <c r="N40" s="56">
        <v>0</v>
      </c>
      <c r="O40" s="60"/>
    </row>
    <row r="41" spans="1:15" ht="12" customHeight="1">
      <c r="A41" s="60"/>
      <c r="B41" s="4">
        <v>500</v>
      </c>
      <c r="C41" s="5" t="s">
        <v>103</v>
      </c>
      <c r="D41" s="53" t="s">
        <v>102</v>
      </c>
      <c r="E41" s="3">
        <f t="shared" si="0"/>
        <v>6</v>
      </c>
      <c r="F41" s="6"/>
      <c r="G41" s="3"/>
      <c r="H41" s="3">
        <f t="shared" si="2"/>
        <v>2.0611219455054197</v>
      </c>
      <c r="I41" s="3">
        <f t="shared" si="1"/>
        <v>0</v>
      </c>
      <c r="J41" s="55"/>
      <c r="K41" s="55"/>
      <c r="L41" s="55"/>
      <c r="M41" s="55"/>
      <c r="N41" s="56">
        <v>0</v>
      </c>
      <c r="O41" s="60"/>
    </row>
    <row r="42" spans="1:15" ht="12" customHeight="1">
      <c r="A42" s="60"/>
      <c r="B42" s="4">
        <v>700</v>
      </c>
      <c r="C42" s="5" t="s">
        <v>103</v>
      </c>
      <c r="D42" s="53" t="s">
        <v>102</v>
      </c>
      <c r="E42" s="3">
        <f t="shared" si="0"/>
        <v>6.000000000000001</v>
      </c>
      <c r="F42" s="6"/>
      <c r="G42" s="3"/>
      <c r="H42" s="3">
        <f t="shared" si="2"/>
        <v>1.6678272532352636</v>
      </c>
      <c r="I42" s="3">
        <f t="shared" si="1"/>
        <v>-1.446491199829931E-15</v>
      </c>
      <c r="J42" s="55"/>
      <c r="K42" s="55"/>
      <c r="L42" s="55"/>
      <c r="M42" s="55"/>
      <c r="N42" s="56">
        <v>0</v>
      </c>
      <c r="O42" s="60"/>
    </row>
    <row r="43" spans="1:15" ht="12" customHeight="1">
      <c r="A43" s="60"/>
      <c r="B43" s="4" t="s">
        <v>15</v>
      </c>
      <c r="C43" s="5" t="s">
        <v>103</v>
      </c>
      <c r="D43" s="53" t="s">
        <v>102</v>
      </c>
      <c r="E43" s="3">
        <f t="shared" si="0"/>
        <v>6.000000000000001</v>
      </c>
      <c r="F43" s="6"/>
      <c r="G43" s="3"/>
      <c r="H43" s="3">
        <f t="shared" si="2"/>
        <v>1.3350295789602538</v>
      </c>
      <c r="I43" s="3">
        <f t="shared" si="1"/>
        <v>-3.85730986621315E-15</v>
      </c>
      <c r="J43" s="55"/>
      <c r="K43" s="55"/>
      <c r="L43" s="55"/>
      <c r="M43" s="55"/>
      <c r="N43" s="56">
        <v>0</v>
      </c>
      <c r="O43" s="60"/>
    </row>
    <row r="44" spans="1:15" ht="12" customHeight="1">
      <c r="A44" s="60"/>
      <c r="B44" s="4" t="s">
        <v>16</v>
      </c>
      <c r="C44" s="5" t="s">
        <v>103</v>
      </c>
      <c r="D44" s="53" t="s">
        <v>102</v>
      </c>
      <c r="E44" s="3">
        <f t="shared" si="0"/>
        <v>6.000000000000001</v>
      </c>
      <c r="F44" s="6"/>
      <c r="G44" s="3"/>
      <c r="H44" s="3">
        <f t="shared" si="2"/>
        <v>0.9032862336336162</v>
      </c>
      <c r="I44" s="3">
        <f t="shared" si="1"/>
        <v>9.64327466553287E-16</v>
      </c>
      <c r="J44" s="55"/>
      <c r="K44" s="55"/>
      <c r="L44" s="55"/>
      <c r="M44" s="55"/>
      <c r="N44" s="56">
        <v>0</v>
      </c>
      <c r="O44" s="60"/>
    </row>
    <row r="45" spans="1:15" ht="12" customHeight="1">
      <c r="A45" s="60"/>
      <c r="B45" s="4" t="s">
        <v>17</v>
      </c>
      <c r="C45" s="5" t="s">
        <v>103</v>
      </c>
      <c r="D45" s="53" t="s">
        <v>102</v>
      </c>
      <c r="E45" s="3">
        <f t="shared" si="0"/>
        <v>6</v>
      </c>
      <c r="F45" s="6"/>
      <c r="G45" s="3"/>
      <c r="H45" s="3">
        <f t="shared" si="2"/>
        <v>0.5648631662130448</v>
      </c>
      <c r="I45" s="3">
        <f t="shared" si="1"/>
        <v>-4.821637332766436E-16</v>
      </c>
      <c r="J45" s="55"/>
      <c r="K45" s="55"/>
      <c r="L45" s="55"/>
      <c r="M45" s="55"/>
      <c r="N45" s="56">
        <v>0</v>
      </c>
      <c r="O45" s="60"/>
    </row>
    <row r="46" spans="1:15" ht="12" customHeight="1">
      <c r="A46" s="68" t="s">
        <v>92</v>
      </c>
      <c r="B46" s="4" t="s">
        <v>18</v>
      </c>
      <c r="C46" s="5" t="s">
        <v>103</v>
      </c>
      <c r="D46" s="53" t="s">
        <v>102</v>
      </c>
      <c r="E46" s="3">
        <f t="shared" si="0"/>
        <v>6.000000000000001</v>
      </c>
      <c r="F46" s="6"/>
      <c r="G46" s="3"/>
      <c r="H46" s="3">
        <f t="shared" si="2"/>
        <v>0.37566224348604393</v>
      </c>
      <c r="I46" s="3">
        <f t="shared" si="1"/>
        <v>-9.643274665532871E-16</v>
      </c>
      <c r="J46" s="55"/>
      <c r="K46" s="55"/>
      <c r="L46" s="55"/>
      <c r="M46" s="55"/>
      <c r="N46" s="56">
        <v>0</v>
      </c>
      <c r="O46" s="60"/>
    </row>
    <row r="47" spans="1:15" ht="12" customHeight="1">
      <c r="A47" s="60"/>
      <c r="B47" s="4" t="s">
        <v>19</v>
      </c>
      <c r="C47" s="5" t="s">
        <v>103</v>
      </c>
      <c r="D47" s="53" t="s">
        <v>102</v>
      </c>
      <c r="E47" s="3">
        <f t="shared" si="0"/>
        <v>5.999999999999999</v>
      </c>
      <c r="F47" s="6"/>
      <c r="G47" s="3"/>
      <c r="H47" s="3">
        <f t="shared" si="2"/>
        <v>0.2821486857753081</v>
      </c>
      <c r="I47" s="3">
        <f t="shared" si="1"/>
        <v>0</v>
      </c>
      <c r="J47" s="55"/>
      <c r="K47" s="55"/>
      <c r="L47" s="55"/>
      <c r="M47" s="55"/>
      <c r="N47" s="56">
        <v>0</v>
      </c>
      <c r="O47" s="60"/>
    </row>
    <row r="48" spans="1:15" ht="12" customHeight="1">
      <c r="A48" s="60"/>
      <c r="B48" s="4" t="s">
        <v>20</v>
      </c>
      <c r="C48" s="5" t="s">
        <v>103</v>
      </c>
      <c r="D48" s="53" t="s">
        <v>102</v>
      </c>
      <c r="E48" s="3">
        <f t="shared" si="0"/>
        <v>6.000000000000001</v>
      </c>
      <c r="F48" s="6"/>
      <c r="G48" s="3"/>
      <c r="H48" s="3">
        <f t="shared" si="2"/>
        <v>0.22772280957039892</v>
      </c>
      <c r="I48" s="3">
        <f t="shared" si="1"/>
        <v>-4.821637332766436E-16</v>
      </c>
      <c r="J48" s="55"/>
      <c r="K48" s="55"/>
      <c r="L48" s="55"/>
      <c r="M48" s="55"/>
      <c r="N48" s="56">
        <v>0</v>
      </c>
      <c r="O48" s="60"/>
    </row>
    <row r="49" spans="1:15" ht="12" customHeight="1">
      <c r="A49" s="60"/>
      <c r="B49" s="4" t="s">
        <v>21</v>
      </c>
      <c r="C49" s="5" t="s">
        <v>103</v>
      </c>
      <c r="D49" s="53" t="s">
        <v>102</v>
      </c>
      <c r="E49" s="3">
        <f t="shared" si="0"/>
        <v>5.999999999999999</v>
      </c>
      <c r="F49" s="6"/>
      <c r="G49" s="3"/>
      <c r="H49" s="3">
        <f t="shared" si="2"/>
        <v>0.15740571646615087</v>
      </c>
      <c r="I49" s="3">
        <f t="shared" si="1"/>
        <v>9.64327466553287E-16</v>
      </c>
      <c r="J49" s="55"/>
      <c r="K49" s="55"/>
      <c r="L49" s="55"/>
      <c r="M49" s="55"/>
      <c r="N49" s="56">
        <v>0</v>
      </c>
      <c r="O49" s="60"/>
    </row>
    <row r="50" spans="1:15" ht="12" customHeight="1">
      <c r="A50" s="60"/>
      <c r="B50" s="4" t="s">
        <v>22</v>
      </c>
      <c r="C50" s="5" t="s">
        <v>103</v>
      </c>
      <c r="D50" s="53" t="s">
        <v>102</v>
      </c>
      <c r="E50" s="3">
        <f t="shared" si="0"/>
        <v>5.999999999999999</v>
      </c>
      <c r="F50" s="6"/>
      <c r="G50" s="3"/>
      <c r="H50" s="3">
        <f t="shared" si="2"/>
        <v>0.08266060412981005</v>
      </c>
      <c r="I50" s="3">
        <f t="shared" si="1"/>
        <v>0</v>
      </c>
      <c r="J50" s="55"/>
      <c r="K50" s="55"/>
      <c r="L50" s="55"/>
      <c r="M50" s="55"/>
      <c r="N50" s="56">
        <v>0</v>
      </c>
      <c r="O50" s="60"/>
    </row>
    <row r="51" spans="1:15" ht="12" customHeight="1">
      <c r="A51" s="60"/>
      <c r="B51" s="4" t="s">
        <v>23</v>
      </c>
      <c r="C51" s="5" t="s">
        <v>103</v>
      </c>
      <c r="D51" s="53" t="s">
        <v>102</v>
      </c>
      <c r="E51" s="3">
        <f t="shared" si="0"/>
        <v>5.999999999999999</v>
      </c>
      <c r="F51" s="6"/>
      <c r="G51" s="3"/>
      <c r="H51" s="3">
        <f t="shared" si="2"/>
        <v>0.036614192650347606</v>
      </c>
      <c r="I51" s="3">
        <f t="shared" si="1"/>
        <v>-1.9286549331065747E-15</v>
      </c>
      <c r="J51" s="55"/>
      <c r="K51" s="55"/>
      <c r="L51" s="55"/>
      <c r="M51" s="55"/>
      <c r="N51" s="56">
        <v>0</v>
      </c>
      <c r="O51" s="60"/>
    </row>
    <row r="52" spans="1:15" ht="12" customHeight="1">
      <c r="A52" s="61"/>
      <c r="B52" s="4" t="s">
        <v>24</v>
      </c>
      <c r="C52" s="5" t="s">
        <v>103</v>
      </c>
      <c r="D52" s="53" t="s">
        <v>102</v>
      </c>
      <c r="E52" s="3">
        <f t="shared" si="0"/>
        <v>5.999999999999999</v>
      </c>
      <c r="F52" s="6"/>
      <c r="G52" s="3"/>
      <c r="H52" s="3">
        <f t="shared" si="2"/>
        <v>0.017378789707025645</v>
      </c>
      <c r="I52" s="3">
        <f t="shared" si="1"/>
        <v>9.64327466553287E-16</v>
      </c>
      <c r="J52" s="55"/>
      <c r="K52" s="55"/>
      <c r="L52" s="55"/>
      <c r="M52" s="55"/>
      <c r="N52" s="56">
        <v>0</v>
      </c>
      <c r="O52" s="61"/>
    </row>
    <row r="53" spans="1:15" ht="12" customHeight="1">
      <c r="A53" s="67" t="s">
        <v>93</v>
      </c>
      <c r="B53" s="4">
        <v>20</v>
      </c>
      <c r="C53" s="5" t="s">
        <v>103</v>
      </c>
      <c r="D53" s="2" t="s">
        <v>101</v>
      </c>
      <c r="E53" s="3">
        <f>IF($H$17=0,0,E185)+E$22-$I$22+E$30+20*LOG(((1+E163*F97)^2+E141^2*F97^2)^0.5*E$28*E119/(E$28^2*(E97-E119)^2+E97^2*E119^2)^0.5)+$J53</f>
        <v>-0.00043496617021367243</v>
      </c>
      <c r="F53" s="3">
        <f>IF($H$17=0,0,F185)+F$22-$I$22+F$30+20*LOG(((1+E163*F97)^2+E141^2*F97^2)^0.5*F$28*E97/(F$28^2*(E97-E119)^2+E97^2*E119^2)^0.5)+$K53</f>
        <v>-40.00044963949064</v>
      </c>
      <c r="G53" s="3">
        <f>IF($H$17=0,0,G185)+G$22-$I$22+G$30+20*LOG(((1-H163*F119)^2+H141^2*F119^2)^0.5*G$28*G119/(G$28^2*(G97-G119)^2+G97^2*G119^2)^0.5)+$L53</f>
        <v>-67.95881554274081</v>
      </c>
      <c r="H53" s="3">
        <f>IF($H$17=0,0,H185)+H$22-$I$22+H$30+20*LOG(((1-H163*F119)^2+H141^2*F119^2)^0.5*H$28*G97/(H$28^2*(G97-G119)^2+G97^2*G119^2)^0.5)+$M53</f>
        <v>-163.87643056294274</v>
      </c>
      <c r="I53" s="3">
        <f>20*LOG(((10^(E53/20)*COS(3.14159*E75/180)+10^(F53/20)*COS(3.14159*F75/180)+10^(G53/20)*COS(3.14159*G75/180)+10^(H53/20)*COS(3.14159*H75/180))^2+(10^(E53/20)*SIN(3.14159*E75/180)+10^(F53/20)*SIN(3.14159*F75/180)+10^(G53/20)*SIN(3.14159*G75/180)+10^(H53/20)*SIN(3.14159*H75/180))^2)^0.5)+$N53</f>
        <v>0.08258340351792098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9" t="s">
        <v>179</v>
      </c>
    </row>
    <row r="54" spans="1:15" ht="12" customHeight="1">
      <c r="A54" s="68"/>
      <c r="B54" s="4">
        <v>30</v>
      </c>
      <c r="C54" s="5" t="s">
        <v>103</v>
      </c>
      <c r="D54" s="2" t="s">
        <v>101</v>
      </c>
      <c r="E54" s="3">
        <f aca="true" t="shared" si="3" ref="E54:E74">IF($H$17=0,0,E186)+E$22-$I$22+E$30+20*LOG(((1+E164*F98)^2+E142^2*F98^2)^0.5*E$28*E120/(E$28^2*(E98-E120)^2+E98^2*E120^2)^0.5)+$J54</f>
        <v>-0.002201569825158919</v>
      </c>
      <c r="F54" s="3">
        <f aca="true" t="shared" si="4" ref="F54:F74">IF($H$17=0,0,F186)+F$22-$I$22+F$30+20*LOG(((1+E164*F98)^2+E142^2*F98^2)^0.5*F$28*E98/(F$28^2*(E98-E120)^2+E98^2*E120^2)^0.5)+$K54</f>
        <v>-32.958565880918336</v>
      </c>
      <c r="G54" s="3">
        <f aca="true" t="shared" si="5" ref="G54:G74">IF($H$17=0,0,G186)+G$22-$I$22+G$30+20*LOG(((1-H164*F120)^2+H142^2*F120^2)^0.5*G$28*G120/(G$28^2*(G98-G120)^2+G98^2*G120^2)^0.5)+$L54</f>
        <v>-60.915168007934355</v>
      </c>
      <c r="H54" s="3">
        <f aca="true" t="shared" si="6" ref="H54:H74">IF($H$17=0,0,H186)+H$22-$I$22+H$30+20*LOG(((1-H164*F120)^2+H142^2*F120^2)^0.5*H$28*G98/(H$28^2*(G98-G120)^2+G98^2*G120^2)^0.5)+$M54</f>
        <v>-149.78913266590905</v>
      </c>
      <c r="I54" s="3">
        <f aca="true" t="shared" si="7" ref="I54:I74">20*LOG(((10^(E54/20)*COS(3.14159*E76/180)+10^(F54/20)*COS(3.14159*F76/180)+10^(G54/20)*COS(3.14159*G76/180)+10^(H54/20)*COS(3.14159*H76/180))^2+(10^(E54/20)*SIN(3.14159*E76/180)+10^(F54/20)*SIN(3.14159*F76/180)+10^(G54/20)*SIN(3.14159*G76/180)+10^(H54/20)*SIN(3.14159*H76/180))^2)^0.5)+$N54</f>
        <v>0.1835743349722779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60"/>
    </row>
    <row r="55" spans="1:15" ht="12" customHeight="1">
      <c r="A55" s="68"/>
      <c r="B55" s="4">
        <v>40</v>
      </c>
      <c r="C55" s="5" t="s">
        <v>103</v>
      </c>
      <c r="D55" s="2" t="s">
        <v>101</v>
      </c>
      <c r="E55" s="3">
        <f t="shared" si="3"/>
        <v>-0.006954253110717125</v>
      </c>
      <c r="F55" s="3">
        <f t="shared" si="4"/>
        <v>-27.965769099871892</v>
      </c>
      <c r="G55" s="3">
        <f t="shared" si="5"/>
        <v>-55.91762615587756</v>
      </c>
      <c r="H55" s="3">
        <f t="shared" si="6"/>
        <v>-139.79404134952023</v>
      </c>
      <c r="I55" s="3">
        <f t="shared" si="7"/>
        <v>0.32083203998044074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60"/>
    </row>
    <row r="56" spans="1:15" ht="12" customHeight="1">
      <c r="A56" s="68"/>
      <c r="B56" s="4">
        <v>50</v>
      </c>
      <c r="C56" s="5" t="s">
        <v>103</v>
      </c>
      <c r="D56" s="2" t="s">
        <v>101</v>
      </c>
      <c r="E56" s="3">
        <f t="shared" si="3"/>
        <v>-0.016958666328501654</v>
      </c>
      <c r="F56" s="3">
        <f t="shared" si="4"/>
        <v>-24.099372992767417</v>
      </c>
      <c r="G56" s="3">
        <f t="shared" si="5"/>
        <v>-52.04124168653777</v>
      </c>
      <c r="H56" s="3">
        <f t="shared" si="6"/>
        <v>-132.04125635985818</v>
      </c>
      <c r="I56" s="3">
        <f t="shared" si="7"/>
        <v>0.49033841225478264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60"/>
    </row>
    <row r="57" spans="1:15" ht="12" customHeight="1">
      <c r="A57" s="68"/>
      <c r="B57" s="4">
        <v>70</v>
      </c>
      <c r="C57" s="5" t="s">
        <v>103</v>
      </c>
      <c r="D57" s="2" t="s">
        <v>101</v>
      </c>
      <c r="E57" s="3">
        <f t="shared" si="3"/>
        <v>-0.06479122024629491</v>
      </c>
      <c r="F57" s="3">
        <f t="shared" si="4"/>
        <v>-18.302084119555694</v>
      </c>
      <c r="G57" s="3">
        <f t="shared" si="5"/>
        <v>-46.196197512089476</v>
      </c>
      <c r="H57" s="3">
        <f t="shared" si="6"/>
        <v>-120.35109075828038</v>
      </c>
      <c r="I57" s="3">
        <f t="shared" si="7"/>
        <v>0.9052448046613882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60"/>
    </row>
    <row r="58" spans="1:15" ht="12" customHeight="1">
      <c r="A58" s="68"/>
      <c r="B58" s="4">
        <v>100</v>
      </c>
      <c r="C58" s="5" t="s">
        <v>103</v>
      </c>
      <c r="D58" s="2" t="s">
        <v>101</v>
      </c>
      <c r="E58" s="3">
        <f t="shared" si="3"/>
        <v>-0.2637227953898116</v>
      </c>
      <c r="F58" s="3">
        <f t="shared" si="4"/>
        <v>-12.304937295269482</v>
      </c>
      <c r="G58" s="3">
        <f t="shared" si="5"/>
        <v>-40.00044963949057</v>
      </c>
      <c r="H58" s="3">
        <f t="shared" si="6"/>
        <v>-107.95926448625174</v>
      </c>
      <c r="I58" s="3">
        <f t="shared" si="7"/>
        <v>1.62093570083826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60"/>
    </row>
    <row r="59" spans="1:15" ht="12" customHeight="1">
      <c r="A59" s="68"/>
      <c r="B59" s="4">
        <v>150</v>
      </c>
      <c r="C59" s="5" t="s">
        <v>103</v>
      </c>
      <c r="D59" s="2" t="s">
        <v>101</v>
      </c>
      <c r="E59" s="3">
        <f t="shared" si="3"/>
        <v>-1.1960938808307593</v>
      </c>
      <c r="F59" s="3">
        <f t="shared" si="4"/>
        <v>-6.193658018483179</v>
      </c>
      <c r="G59" s="3">
        <f t="shared" si="5"/>
        <v>-32.95856588091834</v>
      </c>
      <c r="H59" s="3">
        <f t="shared" si="6"/>
        <v>-93.87373036545227</v>
      </c>
      <c r="I59" s="3">
        <f t="shared" si="7"/>
        <v>2.620727191222325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60"/>
    </row>
    <row r="60" spans="1:15" ht="12" customHeight="1">
      <c r="A60" s="68"/>
      <c r="B60" s="4">
        <v>200</v>
      </c>
      <c r="C60" s="5" t="s">
        <v>103</v>
      </c>
      <c r="D60" s="2" t="s">
        <v>101</v>
      </c>
      <c r="E60" s="3">
        <f t="shared" si="3"/>
        <v>-3.017235755209573</v>
      </c>
      <c r="F60" s="3">
        <f t="shared" si="4"/>
        <v>-3.0172504285299944</v>
      </c>
      <c r="G60" s="3">
        <f t="shared" si="5"/>
        <v>-27.965769099871878</v>
      </c>
      <c r="H60" s="3">
        <f t="shared" si="6"/>
        <v>-83.8833841200738</v>
      </c>
      <c r="I60" s="3">
        <f t="shared" si="7"/>
        <v>2.992908878056851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60"/>
    </row>
    <row r="61" spans="1:15" ht="12" customHeight="1">
      <c r="A61" s="68"/>
      <c r="B61" s="4">
        <v>300</v>
      </c>
      <c r="C61" s="5" t="s">
        <v>103</v>
      </c>
      <c r="D61" s="2" t="s">
        <v>101</v>
      </c>
      <c r="E61" s="3">
        <f t="shared" si="3"/>
        <v>-7.861541292654355</v>
      </c>
      <c r="F61" s="3">
        <f t="shared" si="4"/>
        <v>-0.8179056037475281</v>
      </c>
      <c r="G61" s="3">
        <f t="shared" si="5"/>
        <v>-20.95025679807057</v>
      </c>
      <c r="H61" s="3">
        <f t="shared" si="6"/>
        <v>-69.82422145604525</v>
      </c>
      <c r="I61" s="3">
        <f t="shared" si="7"/>
        <v>2.645147492065641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60"/>
    </row>
    <row r="62" spans="1:15" ht="12" customHeight="1">
      <c r="A62" s="68"/>
      <c r="B62" s="4">
        <v>400</v>
      </c>
      <c r="C62" s="5" t="s">
        <v>103</v>
      </c>
      <c r="D62" s="2" t="s">
        <v>101</v>
      </c>
      <c r="E62" s="3">
        <f t="shared" si="3"/>
        <v>-12.414255159087483</v>
      </c>
      <c r="F62" s="3">
        <f t="shared" si="4"/>
        <v>-0.37307000584865735</v>
      </c>
      <c r="G62" s="3">
        <f t="shared" si="5"/>
        <v>-16.027572658464983</v>
      </c>
      <c r="H62" s="3">
        <f t="shared" si="6"/>
        <v>-59.90398785210766</v>
      </c>
      <c r="I62" s="3">
        <f t="shared" si="7"/>
        <v>2.3169641766350892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60"/>
    </row>
    <row r="63" spans="1:15" ht="12" customHeight="1">
      <c r="A63" s="68"/>
      <c r="B63" s="4">
        <v>500</v>
      </c>
      <c r="C63" s="5" t="s">
        <v>103</v>
      </c>
      <c r="D63" s="2" t="s">
        <v>101</v>
      </c>
      <c r="E63" s="3">
        <f t="shared" si="3"/>
        <v>-16.2906546856582</v>
      </c>
      <c r="F63" s="3">
        <f t="shared" si="4"/>
        <v>-0.3730690120971214</v>
      </c>
      <c r="G63" s="3">
        <f t="shared" si="5"/>
        <v>-12.304937295269482</v>
      </c>
      <c r="H63" s="3">
        <f t="shared" si="6"/>
        <v>-52.304951968589904</v>
      </c>
      <c r="I63" s="3">
        <f t="shared" si="7"/>
        <v>2.3015180728171494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60"/>
    </row>
    <row r="64" spans="1:15" ht="12" customHeight="1">
      <c r="A64" s="68"/>
      <c r="B64" s="4">
        <v>700</v>
      </c>
      <c r="C64" s="5" t="s">
        <v>103</v>
      </c>
      <c r="D64" s="2" t="s">
        <v>101</v>
      </c>
      <c r="E64" s="3">
        <f t="shared" si="3"/>
        <v>-22.726116335369284</v>
      </c>
      <c r="F64" s="3">
        <f t="shared" si="4"/>
        <v>-0.9634092346786792</v>
      </c>
      <c r="G64" s="3">
        <f t="shared" si="5"/>
        <v>-7.132325366453811</v>
      </c>
      <c r="H64" s="3">
        <f t="shared" si="6"/>
        <v>-41.28721861264471</v>
      </c>
      <c r="I64" s="3">
        <f t="shared" si="7"/>
        <v>2.6677970306838676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60"/>
    </row>
    <row r="65" spans="1:15" ht="12" customHeight="1">
      <c r="A65" s="68"/>
      <c r="B65" s="4" t="s">
        <v>15</v>
      </c>
      <c r="C65" s="5" t="s">
        <v>103</v>
      </c>
      <c r="D65" s="2" t="s">
        <v>101</v>
      </c>
      <c r="E65" s="3">
        <f t="shared" si="3"/>
        <v>-30.97602130220952</v>
      </c>
      <c r="F65" s="3">
        <f t="shared" si="4"/>
        <v>-3.0172358020891936</v>
      </c>
      <c r="G65" s="3">
        <f t="shared" si="5"/>
        <v>-3.017250428529999</v>
      </c>
      <c r="H65" s="3">
        <f t="shared" si="6"/>
        <v>-30.976065275291177</v>
      </c>
      <c r="I65" s="3">
        <f t="shared" si="7"/>
        <v>2.9824989145746237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60"/>
    </row>
    <row r="66" spans="1:15" ht="12" customHeight="1">
      <c r="A66" s="68"/>
      <c r="B66" s="4" t="s">
        <v>16</v>
      </c>
      <c r="C66" s="5" t="s">
        <v>103</v>
      </c>
      <c r="D66" s="2" t="s">
        <v>101</v>
      </c>
      <c r="E66" s="3">
        <f t="shared" si="3"/>
        <v>-42.830313498283914</v>
      </c>
      <c r="F66" s="3">
        <f t="shared" si="4"/>
        <v>-7.827877635936332</v>
      </c>
      <c r="G66" s="3">
        <f t="shared" si="5"/>
        <v>-0.8179056037475261</v>
      </c>
      <c r="H66" s="3">
        <f t="shared" si="6"/>
        <v>-21.73307008828145</v>
      </c>
      <c r="I66" s="3">
        <f t="shared" si="7"/>
        <v>2.5995555742533267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60"/>
    </row>
    <row r="67" spans="1:15" ht="12" customHeight="1">
      <c r="A67" s="68"/>
      <c r="B67" s="4" t="s">
        <v>17</v>
      </c>
      <c r="C67" s="5" t="s">
        <v>103</v>
      </c>
      <c r="D67" s="2" t="s">
        <v>101</v>
      </c>
      <c r="E67" s="3">
        <f t="shared" si="3"/>
        <v>-52.30489500451557</v>
      </c>
      <c r="F67" s="3">
        <f t="shared" si="4"/>
        <v>-12.304909677835994</v>
      </c>
      <c r="G67" s="3">
        <f t="shared" si="5"/>
        <v>-0.37307000584865735</v>
      </c>
      <c r="H67" s="3">
        <f t="shared" si="6"/>
        <v>-16.290685026050586</v>
      </c>
      <c r="I67" s="3">
        <f t="shared" si="7"/>
        <v>2.3015188960256774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60"/>
    </row>
    <row r="68" spans="1:15" ht="12" customHeight="1">
      <c r="A68" s="68"/>
      <c r="B68" s="4" t="s">
        <v>18</v>
      </c>
      <c r="C68" s="5" t="s">
        <v>103</v>
      </c>
      <c r="D68" s="2" t="s">
        <v>101</v>
      </c>
      <c r="E68" s="3">
        <f t="shared" si="3"/>
        <v>-66.18184550437371</v>
      </c>
      <c r="F68" s="3">
        <f t="shared" si="4"/>
        <v>-19.138209815466887</v>
      </c>
      <c r="G68" s="3">
        <f t="shared" si="5"/>
        <v>-0.5825336675907647</v>
      </c>
      <c r="H68" s="3">
        <f t="shared" si="6"/>
        <v>-9.456498325565443</v>
      </c>
      <c r="I68" s="3">
        <f t="shared" si="7"/>
        <v>2.4984064956318934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60"/>
    </row>
    <row r="69" spans="1:15" ht="12" customHeight="1">
      <c r="A69" s="68"/>
      <c r="B69" s="4" t="s">
        <v>19</v>
      </c>
      <c r="C69" s="5" t="s">
        <v>103</v>
      </c>
      <c r="D69" s="2" t="s">
        <v>101</v>
      </c>
      <c r="E69" s="3">
        <f t="shared" si="3"/>
        <v>-76.14052891373807</v>
      </c>
      <c r="F69" s="3">
        <f t="shared" si="4"/>
        <v>-24.099343760499245</v>
      </c>
      <c r="G69" s="3">
        <f t="shared" si="5"/>
        <v>-1.5078862842168874</v>
      </c>
      <c r="H69" s="3">
        <f t="shared" si="6"/>
        <v>-5.384301477859568</v>
      </c>
      <c r="I69" s="3">
        <f t="shared" si="7"/>
        <v>2.8893676126898016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60"/>
    </row>
    <row r="70" spans="1:15" ht="12" customHeight="1">
      <c r="A70" s="68"/>
      <c r="B70" s="4" t="s">
        <v>20</v>
      </c>
      <c r="C70" s="5" t="s">
        <v>103</v>
      </c>
      <c r="D70" s="2" t="s">
        <v>101</v>
      </c>
      <c r="E70" s="3">
        <f t="shared" si="3"/>
        <v>-83.88332547374686</v>
      </c>
      <c r="F70" s="3">
        <f t="shared" si="4"/>
        <v>-27.965739800185784</v>
      </c>
      <c r="G70" s="3">
        <f t="shared" si="5"/>
        <v>-3.017235802089191</v>
      </c>
      <c r="H70" s="3">
        <f t="shared" si="6"/>
        <v>-3.017250475409614</v>
      </c>
      <c r="I70" s="3">
        <f t="shared" si="7"/>
        <v>2.9929093723742177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60"/>
    </row>
    <row r="71" spans="1:15" ht="12" customHeight="1">
      <c r="A71" s="68"/>
      <c r="B71" s="4" t="s">
        <v>21</v>
      </c>
      <c r="C71" s="5" t="s">
        <v>103</v>
      </c>
      <c r="D71" s="2" t="s">
        <v>101</v>
      </c>
      <c r="E71" s="3">
        <f t="shared" si="3"/>
        <v>-95.56842535824735</v>
      </c>
      <c r="F71" s="3">
        <f t="shared" si="4"/>
        <v>-33.805718257556755</v>
      </c>
      <c r="G71" s="3">
        <f t="shared" si="5"/>
        <v>-6.851685856997863</v>
      </c>
      <c r="H71" s="3">
        <f t="shared" si="6"/>
        <v>-1.006579103188767</v>
      </c>
      <c r="I71" s="3">
        <f t="shared" si="7"/>
        <v>2.512417466361405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60"/>
    </row>
    <row r="72" spans="1:15" ht="12" customHeight="1">
      <c r="A72" s="68"/>
      <c r="B72" s="4" t="s">
        <v>22</v>
      </c>
      <c r="C72" s="5" t="s">
        <v>103</v>
      </c>
      <c r="D72" s="2" t="s">
        <v>101</v>
      </c>
      <c r="E72" s="3">
        <f t="shared" si="3"/>
        <v>-107.95920579590934</v>
      </c>
      <c r="F72" s="3">
        <f t="shared" si="4"/>
        <v>-40.00042029578901</v>
      </c>
      <c r="G72" s="3">
        <f t="shared" si="5"/>
        <v>-12.304909677835997</v>
      </c>
      <c r="H72" s="3">
        <f t="shared" si="6"/>
        <v>-0.26372452459717316</v>
      </c>
      <c r="I72" s="3">
        <f t="shared" si="7"/>
        <v>1.6209397509439183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60"/>
    </row>
    <row r="73" spans="1:15" ht="12" customHeight="1">
      <c r="A73" s="68"/>
      <c r="B73" s="4" t="s">
        <v>23</v>
      </c>
      <c r="C73" s="5" t="s">
        <v>103</v>
      </c>
      <c r="D73" s="2" t="s">
        <v>101</v>
      </c>
      <c r="E73" s="3">
        <f t="shared" si="3"/>
        <v>-122.04615747452075</v>
      </c>
      <c r="F73" s="3">
        <f t="shared" si="4"/>
        <v>-47.04372161217318</v>
      </c>
      <c r="G73" s="3">
        <f t="shared" si="5"/>
        <v>-19.138209815466876</v>
      </c>
      <c r="H73" s="3">
        <f t="shared" si="6"/>
        <v>-0.05337430000080214</v>
      </c>
      <c r="I73" s="3">
        <f t="shared" si="7"/>
        <v>0.8305431657313374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60"/>
    </row>
    <row r="74" spans="1:15" ht="12" customHeight="1">
      <c r="A74" s="69"/>
      <c r="B74" s="4" t="s">
        <v>24</v>
      </c>
      <c r="C74" s="5" t="s">
        <v>103</v>
      </c>
      <c r="D74" s="2" t="s">
        <v>101</v>
      </c>
      <c r="E74" s="3">
        <f t="shared" si="3"/>
        <v>-132.04119766675976</v>
      </c>
      <c r="F74" s="3">
        <f t="shared" si="4"/>
        <v>-52.041212340080165</v>
      </c>
      <c r="G74" s="3">
        <f t="shared" si="5"/>
        <v>-24.099343760499252</v>
      </c>
      <c r="H74" s="3">
        <f t="shared" si="6"/>
        <v>-0.016958780701180926</v>
      </c>
      <c r="I74" s="3">
        <f t="shared" si="7"/>
        <v>0.4903399667731021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61"/>
    </row>
    <row r="75" spans="1:14" ht="12" customHeight="1">
      <c r="A75" s="67" t="s">
        <v>94</v>
      </c>
      <c r="B75" s="4">
        <v>20</v>
      </c>
      <c r="C75" s="5" t="s">
        <v>103</v>
      </c>
      <c r="D75" s="2" t="s">
        <v>97</v>
      </c>
      <c r="E75" s="6">
        <f>IF($H$17=0,0,E207)+180/PI()*(ATAN2((1+E163*F97),(-1)*E141*F97)+ATAN2((E$28*(E97-E119)),E97*E119))-180</f>
        <v>-9.750470241297847</v>
      </c>
      <c r="F75" s="6">
        <f>IF($H$17=0,0,F207)+180/PI()*(ATAN2((1+E163*F97),(-1)*E141*F97)+ATAN2((F$28*(E97-E119)),E97*E119))-180</f>
        <v>-9.750470241297847</v>
      </c>
      <c r="G75" s="6">
        <f>IF($H$17=0,0,G207)+180/PI()*(ATAN2((1-H163*F119),H141*F119)+ATAN2((G$28*(G97-G119)),G97*G119))-180</f>
        <v>178.05510064762257</v>
      </c>
      <c r="H75" s="6">
        <f>IF($H$17=0,0,H207)+180/PI()*(ATAN2((1-H163*F119),H141*F119)+ATAN2((H$28*(G97-G119)),G97*G119))-180</f>
        <v>178.05510064762257</v>
      </c>
      <c r="I75" s="6">
        <f>180/PI()*ATAN2((10^(E53/20)*COS(PI()*E75/180)+10^(F53/20)*COS(PI()*F75/180)+10^(G53/20)*COS(PI()*G75/180)+10^(H53/20)*COS(PI()*H75/180)),(10^(E53/20)*SIN(PI()*E75/180)+10^(F53/20)*SIN(PI()*F75/180)+10^(G53/20)*SIN(PI()*G75/180)+10^(H53/20)*SIN(PI()*H75/180)))</f>
        <v>-9.753553411266104</v>
      </c>
      <c r="J75" s="46"/>
      <c r="K75" s="46"/>
      <c r="L75" s="46"/>
      <c r="M75" s="45"/>
      <c r="N75" s="44"/>
    </row>
    <row r="76" spans="1:14" ht="12" customHeight="1">
      <c r="A76" s="68"/>
      <c r="B76" s="4">
        <v>30</v>
      </c>
      <c r="C76" s="5" t="s">
        <v>103</v>
      </c>
      <c r="D76" s="2" t="s">
        <v>97</v>
      </c>
      <c r="E76" s="6">
        <f aca="true" t="shared" si="8" ref="E76:E96">IF($H$17=0,0,E208)+180/PI()*(ATAN2((1+E164*F98),(-1)*E142*F98)+ATAN2((E$28*(E98-E120)),E98*E120))-180</f>
        <v>-14.67574761854354</v>
      </c>
      <c r="F76" s="6">
        <f aca="true" t="shared" si="9" ref="F76:F96">IF($H$17=0,0,F208)+180/PI()*(ATAN2((1+E164*F98),(-1)*E142*F98)+ATAN2((F$28*(E98-E120)),E98*E120))-180</f>
        <v>-14.67574761854354</v>
      </c>
      <c r="G76" s="6">
        <f aca="true" t="shared" si="10" ref="G76:G96">IF($H$17=0,0,G208)+180/PI()*(ATAN2((1-H164*F120),H142*F120)+ATAN2((G$28*(G98-G120)),G98*G120))-180</f>
        <v>177.0822429053291</v>
      </c>
      <c r="H76" s="6">
        <f aca="true" t="shared" si="11" ref="H76:H96">IF($H$17=0,0,H208)+180/PI()*(ATAN2((1-H164*F120),H142*F120)+ATAN2((H$28*(G98-G120)),G98*G120))-180</f>
        <v>177.0822429053291</v>
      </c>
      <c r="I76" s="6">
        <f aca="true" t="shared" si="12" ref="I76:I96">180/PI()*ATAN2((10^(E54/20)*COS(PI()*E76/180)+10^(F54/20)*COS(PI()*F76/180)+10^(G54/20)*COS(PI()*G76/180)+10^(H54/20)*COS(PI()*H76/180)),(10^(E54/20)*SIN(PI()*E76/180)+10^(F54/20)*SIN(PI()*F76/180)+10^(G54/20)*SIN(PI()*G76/180)+10^(H54/20)*SIN(PI()*H76/180)))</f>
        <v>-14.686036284341718</v>
      </c>
      <c r="J76" s="46"/>
      <c r="K76" s="46"/>
      <c r="L76" s="46"/>
      <c r="M76" s="45"/>
      <c r="N76" s="44"/>
    </row>
    <row r="77" spans="1:14" ht="12" customHeight="1">
      <c r="A77" s="68"/>
      <c r="B77" s="4">
        <v>40</v>
      </c>
      <c r="C77" s="5" t="s">
        <v>103</v>
      </c>
      <c r="D77" s="2" t="s">
        <v>97</v>
      </c>
      <c r="E77" s="6">
        <f t="shared" si="8"/>
        <v>-19.659289102517903</v>
      </c>
      <c r="F77" s="6">
        <f t="shared" si="9"/>
        <v>-19.659289102517903</v>
      </c>
      <c r="G77" s="6">
        <f t="shared" si="10"/>
        <v>176.10889602951954</v>
      </c>
      <c r="H77" s="6">
        <f t="shared" si="11"/>
        <v>176.10889602951954</v>
      </c>
      <c r="I77" s="6">
        <f t="shared" si="12"/>
        <v>-19.683299013254832</v>
      </c>
      <c r="J77" s="46"/>
      <c r="K77" s="46"/>
      <c r="L77" s="46"/>
      <c r="M77" s="45"/>
      <c r="N77" s="44"/>
    </row>
    <row r="78" spans="1:14" ht="12" customHeight="1">
      <c r="A78" s="68"/>
      <c r="B78" s="4">
        <v>50</v>
      </c>
      <c r="C78" s="5" t="s">
        <v>103</v>
      </c>
      <c r="D78" s="2" t="s">
        <v>97</v>
      </c>
      <c r="E78" s="6">
        <f t="shared" si="8"/>
        <v>-24.717417000626</v>
      </c>
      <c r="F78" s="6">
        <f t="shared" si="9"/>
        <v>-24.717417000626</v>
      </c>
      <c r="G78" s="6">
        <f t="shared" si="10"/>
        <v>175.13489788711354</v>
      </c>
      <c r="H78" s="6">
        <f t="shared" si="11"/>
        <v>175.13489788711354</v>
      </c>
      <c r="I78" s="6">
        <f t="shared" si="12"/>
        <v>-24.763395074539197</v>
      </c>
      <c r="J78" s="46"/>
      <c r="K78" s="46"/>
      <c r="L78" s="46"/>
      <c r="M78" s="45"/>
      <c r="N78" s="44"/>
    </row>
    <row r="79" spans="1:14" ht="12" customHeight="1">
      <c r="A79" s="68"/>
      <c r="B79" s="4">
        <v>70</v>
      </c>
      <c r="C79" s="5" t="s">
        <v>103</v>
      </c>
      <c r="D79" s="2" t="s">
        <v>97</v>
      </c>
      <c r="E79" s="6">
        <f t="shared" si="8"/>
        <v>-35.10740394387676</v>
      </c>
      <c r="F79" s="6">
        <f t="shared" si="9"/>
        <v>-35.10740394387676</v>
      </c>
      <c r="G79" s="6">
        <f t="shared" si="10"/>
        <v>173.18430339417102</v>
      </c>
      <c r="H79" s="6">
        <f t="shared" si="11"/>
        <v>173.18430339417102</v>
      </c>
      <c r="I79" s="6">
        <f t="shared" si="12"/>
        <v>-35.22732027685053</v>
      </c>
      <c r="J79" s="46"/>
      <c r="K79" s="46"/>
      <c r="L79" s="46"/>
      <c r="M79" s="45"/>
      <c r="N79" s="44"/>
    </row>
    <row r="80" spans="1:14" ht="12" customHeight="1">
      <c r="A80" s="68"/>
      <c r="B80" s="4">
        <v>100</v>
      </c>
      <c r="C80" s="5" t="s">
        <v>103</v>
      </c>
      <c r="D80" s="2" t="s">
        <v>97</v>
      </c>
      <c r="E80" s="6">
        <f t="shared" si="8"/>
        <v>-51.443502615948034</v>
      </c>
      <c r="F80" s="6">
        <f t="shared" si="9"/>
        <v>-51.443502615948034</v>
      </c>
      <c r="G80" s="6">
        <f t="shared" si="10"/>
        <v>170.24952975870224</v>
      </c>
      <c r="H80" s="6">
        <f t="shared" si="11"/>
        <v>170.24952975870224</v>
      </c>
      <c r="I80" s="6">
        <f t="shared" si="12"/>
        <v>-51.75983380991427</v>
      </c>
      <c r="J80" s="46"/>
      <c r="K80" s="46"/>
      <c r="L80" s="46"/>
      <c r="M80" s="45"/>
      <c r="N80" s="44"/>
    </row>
    <row r="81" spans="1:14" ht="12" customHeight="1">
      <c r="A81" s="68"/>
      <c r="B81" s="4">
        <v>150</v>
      </c>
      <c r="C81" s="5" t="s">
        <v>103</v>
      </c>
      <c r="D81" s="2" t="s">
        <v>97</v>
      </c>
      <c r="E81" s="6">
        <f t="shared" si="8"/>
        <v>-79.82898877667955</v>
      </c>
      <c r="F81" s="6">
        <f t="shared" si="9"/>
        <v>-79.82898877667955</v>
      </c>
      <c r="G81" s="6">
        <f t="shared" si="10"/>
        <v>165.3242523814564</v>
      </c>
      <c r="H81" s="6">
        <f t="shared" si="11"/>
        <v>165.3242523814564</v>
      </c>
      <c r="I81" s="6">
        <f t="shared" si="12"/>
        <v>-80.69471511329077</v>
      </c>
      <c r="J81" s="46"/>
      <c r="K81" s="46"/>
      <c r="L81" s="46"/>
      <c r="M81" s="45"/>
      <c r="N81" s="44"/>
    </row>
    <row r="82" spans="1:14" ht="12" customHeight="1">
      <c r="A82" s="68"/>
      <c r="B82" s="4">
        <v>200</v>
      </c>
      <c r="C82" s="5" t="s">
        <v>103</v>
      </c>
      <c r="D82" s="2" t="s">
        <v>97</v>
      </c>
      <c r="E82" s="6">
        <f t="shared" si="8"/>
        <v>-106.41635771858027</v>
      </c>
      <c r="F82" s="6">
        <f t="shared" si="9"/>
        <v>-106.41635771858027</v>
      </c>
      <c r="G82" s="6">
        <f t="shared" si="10"/>
        <v>160.3407108974821</v>
      </c>
      <c r="H82" s="6">
        <f t="shared" si="11"/>
        <v>160.3407108974821</v>
      </c>
      <c r="I82" s="6">
        <f t="shared" si="12"/>
        <v>-108.03908317683602</v>
      </c>
      <c r="J82" s="46"/>
      <c r="K82" s="46"/>
      <c r="L82" s="46"/>
      <c r="M82" s="45"/>
      <c r="N82" s="44"/>
    </row>
    <row r="83" spans="1:14" ht="12" customHeight="1">
      <c r="A83" s="68"/>
      <c r="B83" s="4">
        <v>300</v>
      </c>
      <c r="C83" s="5" t="s">
        <v>103</v>
      </c>
      <c r="D83" s="2" t="s">
        <v>97</v>
      </c>
      <c r="E83" s="6">
        <f t="shared" si="8"/>
        <v>-145.50495617928246</v>
      </c>
      <c r="F83" s="6">
        <f t="shared" si="9"/>
        <v>-145.50495617928246</v>
      </c>
      <c r="G83" s="6">
        <f t="shared" si="10"/>
        <v>150.13642224930754</v>
      </c>
      <c r="H83" s="6">
        <f t="shared" si="11"/>
        <v>150.13642224930754</v>
      </c>
      <c r="I83" s="6">
        <f t="shared" si="12"/>
        <v>-148.93379997593826</v>
      </c>
      <c r="J83" s="46"/>
      <c r="K83" s="46"/>
      <c r="L83" s="46"/>
      <c r="M83" s="45"/>
      <c r="N83" s="44"/>
    </row>
    <row r="84" spans="1:14" ht="12" customHeight="1">
      <c r="A84" s="68"/>
      <c r="B84" s="4">
        <v>400</v>
      </c>
      <c r="C84" s="5" t="s">
        <v>103</v>
      </c>
      <c r="D84" s="2" t="s">
        <v>97</v>
      </c>
      <c r="E84" s="6">
        <f t="shared" si="8"/>
        <v>-170.64377760610736</v>
      </c>
      <c r="F84" s="6">
        <f t="shared" si="9"/>
        <v>-170.64377760610736</v>
      </c>
      <c r="G84" s="6">
        <f t="shared" si="10"/>
        <v>139.5462779952519</v>
      </c>
      <c r="H84" s="6">
        <f t="shared" si="11"/>
        <v>139.5462779952519</v>
      </c>
      <c r="I84" s="6">
        <f t="shared" si="12"/>
        <v>-175.9812501464334</v>
      </c>
      <c r="J84" s="46"/>
      <c r="K84" s="46"/>
      <c r="L84" s="46"/>
      <c r="M84" s="45"/>
      <c r="N84" s="44"/>
    </row>
    <row r="85" spans="1:14" ht="12" customHeight="1">
      <c r="A85" s="68"/>
      <c r="B85" s="4">
        <v>500</v>
      </c>
      <c r="C85" s="5" t="s">
        <v>103</v>
      </c>
      <c r="D85" s="2" t="s">
        <v>97</v>
      </c>
      <c r="E85" s="6">
        <f t="shared" si="8"/>
        <v>-189.35607994540973</v>
      </c>
      <c r="F85" s="6">
        <f t="shared" si="9"/>
        <v>-189.35607994540973</v>
      </c>
      <c r="G85" s="6">
        <f t="shared" si="10"/>
        <v>128.55649738405197</v>
      </c>
      <c r="H85" s="6">
        <f t="shared" si="11"/>
        <v>128.55649738405197</v>
      </c>
      <c r="I85" s="6">
        <f t="shared" si="12"/>
        <v>163.40753039851236</v>
      </c>
      <c r="J85" s="46"/>
      <c r="K85" s="46"/>
      <c r="L85" s="46"/>
      <c r="M85" s="45"/>
      <c r="N85" s="44"/>
    </row>
    <row r="86" spans="1:14" ht="12" customHeight="1">
      <c r="A86" s="68"/>
      <c r="B86" s="4">
        <v>700</v>
      </c>
      <c r="C86" s="5" t="s">
        <v>103</v>
      </c>
      <c r="D86" s="2" t="s">
        <v>97</v>
      </c>
      <c r="E86" s="6">
        <f t="shared" si="8"/>
        <v>-218.99498604281948</v>
      </c>
      <c r="F86" s="6">
        <f t="shared" si="9"/>
        <v>-218.99498604281948</v>
      </c>
      <c r="G86" s="6">
        <f t="shared" si="10"/>
        <v>105.83936972417615</v>
      </c>
      <c r="H86" s="6">
        <f t="shared" si="11"/>
        <v>105.83936972417615</v>
      </c>
      <c r="I86" s="6">
        <f t="shared" si="12"/>
        <v>130.0509853338071</v>
      </c>
      <c r="J86" s="46"/>
      <c r="K86" s="46"/>
      <c r="L86" s="46"/>
      <c r="M86" s="45"/>
      <c r="N86" s="44"/>
    </row>
    <row r="87" spans="1:14" ht="12" customHeight="1">
      <c r="A87" s="68"/>
      <c r="B87" s="4" t="s">
        <v>5</v>
      </c>
      <c r="C87" s="5" t="s">
        <v>103</v>
      </c>
      <c r="D87" s="2" t="s">
        <v>97</v>
      </c>
      <c r="E87" s="6">
        <f t="shared" si="8"/>
        <v>-253.5834769713965</v>
      </c>
      <c r="F87" s="6">
        <f t="shared" si="9"/>
        <v>-253.5834769713965</v>
      </c>
      <c r="G87" s="6">
        <f t="shared" si="10"/>
        <v>73.58364228141971</v>
      </c>
      <c r="H87" s="6">
        <f t="shared" si="11"/>
        <v>73.58364228141971</v>
      </c>
      <c r="I87" s="6">
        <f t="shared" si="12"/>
        <v>90.00009796499948</v>
      </c>
      <c r="J87" s="46"/>
      <c r="K87" s="46"/>
      <c r="L87" s="46"/>
      <c r="M87" s="45"/>
      <c r="N87" s="44"/>
    </row>
    <row r="88" spans="1:14" ht="12" customHeight="1">
      <c r="A88" s="68"/>
      <c r="B88" s="4" t="s">
        <v>6</v>
      </c>
      <c r="C88" s="5" t="s">
        <v>103</v>
      </c>
      <c r="D88" s="2" t="s">
        <v>97</v>
      </c>
      <c r="E88" s="6">
        <f t="shared" si="8"/>
        <v>-289.641767714911</v>
      </c>
      <c r="F88" s="6">
        <f t="shared" si="9"/>
        <v>-289.641767714911</v>
      </c>
      <c r="G88" s="6">
        <f t="shared" si="10"/>
        <v>34.49504382071751</v>
      </c>
      <c r="H88" s="6">
        <f t="shared" si="11"/>
        <v>34.49504382071751</v>
      </c>
      <c r="I88" s="6">
        <f t="shared" si="12"/>
        <v>44.835786283318676</v>
      </c>
      <c r="J88" s="46"/>
      <c r="K88" s="46"/>
      <c r="L88" s="46"/>
      <c r="M88" s="45"/>
      <c r="N88" s="44"/>
    </row>
    <row r="89" spans="1:14" ht="12" customHeight="1">
      <c r="A89" s="68"/>
      <c r="B89" s="4" t="s">
        <v>7</v>
      </c>
      <c r="C89" s="5" t="s">
        <v>103</v>
      </c>
      <c r="D89" s="2" t="s">
        <v>97</v>
      </c>
      <c r="E89" s="6">
        <f t="shared" si="8"/>
        <v>-308.55640304035956</v>
      </c>
      <c r="F89" s="6">
        <f t="shared" si="9"/>
        <v>-308.55640304035956</v>
      </c>
      <c r="G89" s="6">
        <f t="shared" si="10"/>
        <v>9.356222393892665</v>
      </c>
      <c r="H89" s="6">
        <f t="shared" si="11"/>
        <v>9.356222393892665</v>
      </c>
      <c r="I89" s="6">
        <f t="shared" si="12"/>
        <v>16.592627972666435</v>
      </c>
      <c r="J89" s="46"/>
      <c r="K89" s="46"/>
      <c r="L89" s="46"/>
      <c r="M89" s="45"/>
      <c r="N89" s="44"/>
    </row>
    <row r="90" spans="1:14" ht="12" customHeight="1">
      <c r="A90" s="68"/>
      <c r="B90" s="4" t="s">
        <v>8</v>
      </c>
      <c r="C90" s="5" t="s">
        <v>103</v>
      </c>
      <c r="D90" s="2" t="s">
        <v>97</v>
      </c>
      <c r="E90" s="6">
        <f t="shared" si="8"/>
        <v>-326.65173834740756</v>
      </c>
      <c r="F90" s="6">
        <f t="shared" si="9"/>
        <v>-326.65173834740756</v>
      </c>
      <c r="G90" s="6">
        <f t="shared" si="10"/>
        <v>-25.036249322089475</v>
      </c>
      <c r="H90" s="6">
        <f t="shared" si="11"/>
        <v>-25.036249322089475</v>
      </c>
      <c r="I90" s="6">
        <f t="shared" si="12"/>
        <v>-20.973596375937962</v>
      </c>
      <c r="J90" s="46"/>
      <c r="K90" s="46"/>
      <c r="L90" s="46"/>
      <c r="M90" s="45"/>
      <c r="N90" s="44"/>
    </row>
    <row r="91" spans="1:14" ht="12" customHeight="1">
      <c r="A91" s="68"/>
      <c r="B91" s="4" t="s">
        <v>9</v>
      </c>
      <c r="C91" s="5" t="s">
        <v>103</v>
      </c>
      <c r="D91" s="2" t="s">
        <v>97</v>
      </c>
      <c r="E91" s="6">
        <f t="shared" si="8"/>
        <v>-335.2825399198673</v>
      </c>
      <c r="F91" s="6">
        <f t="shared" si="9"/>
        <v>-335.2825399198673</v>
      </c>
      <c r="G91" s="6">
        <f t="shared" si="10"/>
        <v>-51.68630537121203</v>
      </c>
      <c r="H91" s="6">
        <f t="shared" si="11"/>
        <v>-51.68630537121203</v>
      </c>
      <c r="I91" s="6">
        <f t="shared" si="12"/>
        <v>-49.188464953468774</v>
      </c>
      <c r="J91" s="46"/>
      <c r="K91" s="46"/>
      <c r="L91" s="46"/>
      <c r="M91" s="45"/>
      <c r="N91" s="44"/>
    </row>
    <row r="92" spans="1:14" ht="12" customHeight="1">
      <c r="A92" s="68"/>
      <c r="B92" s="4" t="s">
        <v>10</v>
      </c>
      <c r="C92" s="5" t="s">
        <v>103</v>
      </c>
      <c r="D92" s="2" t="s">
        <v>97</v>
      </c>
      <c r="E92" s="6">
        <f t="shared" si="8"/>
        <v>-340.340676987061</v>
      </c>
      <c r="F92" s="6">
        <f t="shared" si="9"/>
        <v>-340.340676987061</v>
      </c>
      <c r="G92" s="6">
        <f t="shared" si="10"/>
        <v>-73.5834769713965</v>
      </c>
      <c r="H92" s="6">
        <f t="shared" si="11"/>
        <v>-73.5834769713965</v>
      </c>
      <c r="I92" s="6">
        <f t="shared" si="12"/>
        <v>-71.96074591050866</v>
      </c>
      <c r="J92" s="46"/>
      <c r="K92" s="46"/>
      <c r="L92" s="46"/>
      <c r="M92" s="45"/>
      <c r="N92" s="44"/>
    </row>
    <row r="93" spans="1:14" ht="12" customHeight="1">
      <c r="A93" s="68"/>
      <c r="B93" s="4" t="s">
        <v>11</v>
      </c>
      <c r="C93" s="5" t="s">
        <v>103</v>
      </c>
      <c r="D93" s="2" t="s">
        <v>97</v>
      </c>
      <c r="E93" s="6">
        <f t="shared" si="8"/>
        <v>-346.0309970123035</v>
      </c>
      <c r="F93" s="6">
        <f t="shared" si="9"/>
        <v>-346.0309970123035</v>
      </c>
      <c r="G93" s="6">
        <f t="shared" si="10"/>
        <v>-104.21417345889445</v>
      </c>
      <c r="H93" s="6">
        <f t="shared" si="11"/>
        <v>-104.21417345889445</v>
      </c>
      <c r="I93" s="6">
        <f t="shared" si="12"/>
        <v>-103.44188920373884</v>
      </c>
      <c r="J93" s="46"/>
      <c r="K93" s="46"/>
      <c r="L93" s="46"/>
      <c r="M93" s="45"/>
      <c r="N93" s="44"/>
    </row>
    <row r="94" spans="1:14" ht="12" customHeight="1">
      <c r="A94" s="68"/>
      <c r="B94" s="4" t="s">
        <v>12</v>
      </c>
      <c r="C94" s="5" t="s">
        <v>103</v>
      </c>
      <c r="D94" s="2" t="s">
        <v>97</v>
      </c>
      <c r="E94" s="6">
        <f t="shared" si="8"/>
        <v>-350.2495131960625</v>
      </c>
      <c r="F94" s="6">
        <f t="shared" si="9"/>
        <v>-350.2495131960625</v>
      </c>
      <c r="G94" s="6">
        <f t="shared" si="10"/>
        <v>-128.55640304035956</v>
      </c>
      <c r="H94" s="6">
        <f t="shared" si="11"/>
        <v>-128.55640304035956</v>
      </c>
      <c r="I94" s="6">
        <f t="shared" si="12"/>
        <v>-128.24007044268185</v>
      </c>
      <c r="J94" s="46"/>
      <c r="K94" s="46"/>
      <c r="L94" s="46"/>
      <c r="M94" s="45"/>
      <c r="N94" s="44"/>
    </row>
    <row r="95" spans="1:14" ht="12" customHeight="1">
      <c r="A95" s="68"/>
      <c r="B95" s="4" t="s">
        <v>13</v>
      </c>
      <c r="C95" s="5" t="s">
        <v>103</v>
      </c>
      <c r="D95" s="2" t="s">
        <v>97</v>
      </c>
      <c r="E95" s="6">
        <f t="shared" si="8"/>
        <v>-353.5096716089496</v>
      </c>
      <c r="F95" s="6">
        <f t="shared" si="9"/>
        <v>-353.5096716089496</v>
      </c>
      <c r="G95" s="6">
        <f t="shared" si="10"/>
        <v>-146.65173834740753</v>
      </c>
      <c r="H95" s="6">
        <f t="shared" si="11"/>
        <v>-146.65173834740753</v>
      </c>
      <c r="I95" s="6">
        <f t="shared" si="12"/>
        <v>-146.54716676785566</v>
      </c>
      <c r="J95" s="46"/>
      <c r="K95" s="46"/>
      <c r="L95" s="46"/>
      <c r="M95" s="45"/>
      <c r="N95" s="44"/>
    </row>
    <row r="96" spans="1:14" ht="12" customHeight="1">
      <c r="A96" s="69"/>
      <c r="B96" s="4" t="s">
        <v>14</v>
      </c>
      <c r="C96" s="5" t="s">
        <v>103</v>
      </c>
      <c r="D96" s="2" t="s">
        <v>97</v>
      </c>
      <c r="E96" s="6">
        <f t="shared" si="8"/>
        <v>-355.1348896568875</v>
      </c>
      <c r="F96" s="6">
        <f t="shared" si="9"/>
        <v>-355.1348896568875</v>
      </c>
      <c r="G96" s="6">
        <f t="shared" si="10"/>
        <v>-155.28253991986728</v>
      </c>
      <c r="H96" s="6">
        <f t="shared" si="11"/>
        <v>-155.28253991986728</v>
      </c>
      <c r="I96" s="6">
        <f t="shared" si="12"/>
        <v>-155.23656162136848</v>
      </c>
      <c r="J96" s="46"/>
      <c r="K96" s="46"/>
      <c r="L96" s="46"/>
      <c r="M96" s="45"/>
      <c r="N96" s="44"/>
    </row>
    <row r="97" spans="1:9" ht="12" customHeight="1">
      <c r="A97" s="67" t="s">
        <v>140</v>
      </c>
      <c r="B97" s="4">
        <v>20</v>
      </c>
      <c r="C97" s="5" t="s">
        <v>103</v>
      </c>
      <c r="D97" s="2" t="s">
        <v>100</v>
      </c>
      <c r="E97" s="6">
        <f aca="true" t="shared" si="13" ref="E97:G118">2*3.14159*$B97*E$18*0.001</f>
        <v>0.848527420702801</v>
      </c>
      <c r="F97" s="6">
        <f t="shared" si="13"/>
        <v>0.1697054841405602</v>
      </c>
      <c r="G97" s="6">
        <f t="shared" si="13"/>
        <v>0.03394109682811204</v>
      </c>
      <c r="H97" s="6"/>
      <c r="I97" s="6"/>
    </row>
    <row r="98" spans="1:9" ht="12" customHeight="1">
      <c r="A98" s="68"/>
      <c r="B98" s="4">
        <v>30</v>
      </c>
      <c r="C98" s="5" t="s">
        <v>103</v>
      </c>
      <c r="D98" s="2" t="s">
        <v>100</v>
      </c>
      <c r="E98" s="6">
        <f t="shared" si="13"/>
        <v>1.2727911310542013</v>
      </c>
      <c r="F98" s="6">
        <f t="shared" si="13"/>
        <v>0.2545582262108403</v>
      </c>
      <c r="G98" s="6">
        <f t="shared" si="13"/>
        <v>0.05091164524216805</v>
      </c>
      <c r="H98" s="6"/>
      <c r="I98" s="6"/>
    </row>
    <row r="99" spans="1:9" ht="12" customHeight="1">
      <c r="A99" s="68"/>
      <c r="B99" s="4">
        <v>40</v>
      </c>
      <c r="C99" s="5" t="s">
        <v>103</v>
      </c>
      <c r="D99" s="2" t="s">
        <v>100</v>
      </c>
      <c r="E99" s="6">
        <f t="shared" si="13"/>
        <v>1.697054841405602</v>
      </c>
      <c r="F99" s="6">
        <f t="shared" si="13"/>
        <v>0.3394109682811204</v>
      </c>
      <c r="G99" s="6">
        <f t="shared" si="13"/>
        <v>0.06788219365622408</v>
      </c>
      <c r="H99" s="6"/>
      <c r="I99" s="6"/>
    </row>
    <row r="100" spans="1:9" ht="12" customHeight="1">
      <c r="A100" s="68"/>
      <c r="B100" s="4">
        <v>50</v>
      </c>
      <c r="C100" s="5" t="s">
        <v>103</v>
      </c>
      <c r="D100" s="2" t="s">
        <v>100</v>
      </c>
      <c r="E100" s="6">
        <f t="shared" si="13"/>
        <v>2.1213185517570023</v>
      </c>
      <c r="F100" s="6">
        <f t="shared" si="13"/>
        <v>0.42426371035140054</v>
      </c>
      <c r="G100" s="6">
        <f t="shared" si="13"/>
        <v>0.08485274207028008</v>
      </c>
      <c r="H100" s="6"/>
      <c r="I100" s="6"/>
    </row>
    <row r="101" spans="1:9" ht="12" customHeight="1">
      <c r="A101" s="68"/>
      <c r="B101" s="4">
        <v>70</v>
      </c>
      <c r="C101" s="5" t="s">
        <v>103</v>
      </c>
      <c r="D101" s="2" t="s">
        <v>100</v>
      </c>
      <c r="E101" s="6">
        <f t="shared" si="13"/>
        <v>2.9698459724598028</v>
      </c>
      <c r="F101" s="6">
        <f t="shared" si="13"/>
        <v>0.5939691944919607</v>
      </c>
      <c r="G101" s="6">
        <f t="shared" si="13"/>
        <v>0.11879383889839212</v>
      </c>
      <c r="H101" s="6"/>
      <c r="I101" s="6"/>
    </row>
    <row r="102" spans="1:9" ht="12" customHeight="1">
      <c r="A102" s="68"/>
      <c r="B102" s="4">
        <v>100</v>
      </c>
      <c r="C102" s="5" t="s">
        <v>103</v>
      </c>
      <c r="D102" s="2" t="s">
        <v>100</v>
      </c>
      <c r="E102" s="6">
        <f t="shared" si="13"/>
        <v>4.242637103514005</v>
      </c>
      <c r="F102" s="6">
        <f t="shared" si="13"/>
        <v>0.8485274207028011</v>
      </c>
      <c r="G102" s="6">
        <f t="shared" si="13"/>
        <v>0.16970548414056016</v>
      </c>
      <c r="H102" s="6"/>
      <c r="I102" s="6"/>
    </row>
    <row r="103" spans="1:9" ht="12" customHeight="1">
      <c r="A103" s="68"/>
      <c r="B103" s="4">
        <v>150</v>
      </c>
      <c r="C103" s="5" t="s">
        <v>103</v>
      </c>
      <c r="D103" s="2" t="s">
        <v>100</v>
      </c>
      <c r="E103" s="6">
        <f t="shared" si="13"/>
        <v>6.363955655271006</v>
      </c>
      <c r="F103" s="6">
        <f t="shared" si="13"/>
        <v>1.2727911310542015</v>
      </c>
      <c r="G103" s="6">
        <f t="shared" si="13"/>
        <v>0.2545582262108403</v>
      </c>
      <c r="H103" s="6"/>
      <c r="I103" s="6"/>
    </row>
    <row r="104" spans="1:9" ht="12" customHeight="1">
      <c r="A104" s="68"/>
      <c r="B104" s="4">
        <v>200</v>
      </c>
      <c r="C104" s="5" t="s">
        <v>103</v>
      </c>
      <c r="D104" s="2" t="s">
        <v>100</v>
      </c>
      <c r="E104" s="6">
        <f t="shared" si="13"/>
        <v>8.48527420702801</v>
      </c>
      <c r="F104" s="6">
        <f t="shared" si="13"/>
        <v>1.6970548414056021</v>
      </c>
      <c r="G104" s="6">
        <f t="shared" si="13"/>
        <v>0.33941096828112033</v>
      </c>
      <c r="H104" s="6"/>
      <c r="I104" s="6"/>
    </row>
    <row r="105" spans="1:9" ht="12" customHeight="1">
      <c r="A105" s="68"/>
      <c r="B105" s="4">
        <v>300</v>
      </c>
      <c r="C105" s="5" t="s">
        <v>103</v>
      </c>
      <c r="D105" s="2" t="s">
        <v>100</v>
      </c>
      <c r="E105" s="6">
        <f t="shared" si="13"/>
        <v>12.727911310542012</v>
      </c>
      <c r="F105" s="6">
        <f t="shared" si="13"/>
        <v>2.545582262108403</v>
      </c>
      <c r="G105" s="6">
        <f t="shared" si="13"/>
        <v>0.5091164524216806</v>
      </c>
      <c r="H105" s="6"/>
      <c r="I105" s="6"/>
    </row>
    <row r="106" spans="1:9" ht="12" customHeight="1">
      <c r="A106" s="68"/>
      <c r="B106" s="4">
        <v>400</v>
      </c>
      <c r="C106" s="5" t="s">
        <v>103</v>
      </c>
      <c r="D106" s="2" t="s">
        <v>100</v>
      </c>
      <c r="E106" s="6">
        <f t="shared" si="13"/>
        <v>16.97054841405602</v>
      </c>
      <c r="F106" s="6">
        <f t="shared" si="13"/>
        <v>3.3941096828112043</v>
      </c>
      <c r="G106" s="6">
        <f t="shared" si="13"/>
        <v>0.6788219365622407</v>
      </c>
      <c r="H106" s="6"/>
      <c r="I106" s="6"/>
    </row>
    <row r="107" spans="1:9" ht="12" customHeight="1">
      <c r="A107" s="68"/>
      <c r="B107" s="4">
        <v>500</v>
      </c>
      <c r="C107" s="5" t="s">
        <v>103</v>
      </c>
      <c r="D107" s="2" t="s">
        <v>100</v>
      </c>
      <c r="E107" s="6">
        <f t="shared" si="13"/>
        <v>21.213185517570018</v>
      </c>
      <c r="F107" s="6">
        <f t="shared" si="13"/>
        <v>4.242637103514005</v>
      </c>
      <c r="G107" s="6">
        <f t="shared" si="13"/>
        <v>0.8485274207028008</v>
      </c>
      <c r="H107" s="6"/>
      <c r="I107" s="6"/>
    </row>
    <row r="108" spans="1:9" ht="12" customHeight="1">
      <c r="A108" s="68"/>
      <c r="B108" s="4">
        <v>700</v>
      </c>
      <c r="C108" s="5" t="s">
        <v>103</v>
      </c>
      <c r="D108" s="2" t="s">
        <v>100</v>
      </c>
      <c r="E108" s="6">
        <f t="shared" si="13"/>
        <v>29.698459724598028</v>
      </c>
      <c r="F108" s="6">
        <f t="shared" si="13"/>
        <v>5.939691944919606</v>
      </c>
      <c r="G108" s="6">
        <f t="shared" si="13"/>
        <v>1.1879383889839212</v>
      </c>
      <c r="H108" s="6"/>
      <c r="I108" s="6"/>
    </row>
    <row r="109" spans="1:9" ht="12" customHeight="1">
      <c r="A109" s="68"/>
      <c r="B109" s="4">
        <v>1000</v>
      </c>
      <c r="C109" s="5" t="s">
        <v>103</v>
      </c>
      <c r="D109" s="2" t="s">
        <v>100</v>
      </c>
      <c r="E109" s="6">
        <f t="shared" si="13"/>
        <v>42.426371035140036</v>
      </c>
      <c r="F109" s="6">
        <f t="shared" si="13"/>
        <v>8.48527420702801</v>
      </c>
      <c r="G109" s="6">
        <f t="shared" si="13"/>
        <v>1.6970548414056017</v>
      </c>
      <c r="H109" s="6"/>
      <c r="I109" s="6"/>
    </row>
    <row r="110" spans="1:9" ht="12" customHeight="1">
      <c r="A110" s="68"/>
      <c r="B110" s="4">
        <v>1500</v>
      </c>
      <c r="C110" s="5" t="s">
        <v>103</v>
      </c>
      <c r="D110" s="2" t="s">
        <v>100</v>
      </c>
      <c r="E110" s="6">
        <f t="shared" si="13"/>
        <v>63.63955655271007</v>
      </c>
      <c r="F110" s="6">
        <f t="shared" si="13"/>
        <v>12.727911310542018</v>
      </c>
      <c r="G110" s="6">
        <f t="shared" si="13"/>
        <v>2.545582262108403</v>
      </c>
      <c r="H110" s="6"/>
      <c r="I110" s="6"/>
    </row>
    <row r="111" spans="1:9" ht="12" customHeight="1">
      <c r="A111" s="68"/>
      <c r="B111" s="4">
        <v>2000</v>
      </c>
      <c r="C111" s="5" t="s">
        <v>103</v>
      </c>
      <c r="D111" s="2" t="s">
        <v>100</v>
      </c>
      <c r="E111" s="6">
        <f t="shared" si="13"/>
        <v>84.85274207028007</v>
      </c>
      <c r="F111" s="6">
        <f t="shared" si="13"/>
        <v>16.97054841405602</v>
      </c>
      <c r="G111" s="6">
        <f t="shared" si="13"/>
        <v>3.3941096828112034</v>
      </c>
      <c r="H111" s="6"/>
      <c r="I111" s="6"/>
    </row>
    <row r="112" spans="1:9" ht="12" customHeight="1">
      <c r="A112" s="68"/>
      <c r="B112" s="4">
        <v>3000</v>
      </c>
      <c r="C112" s="5" t="s">
        <v>103</v>
      </c>
      <c r="D112" s="2" t="s">
        <v>100</v>
      </c>
      <c r="E112" s="6">
        <f t="shared" si="13"/>
        <v>127.27911310542014</v>
      </c>
      <c r="F112" s="6">
        <f t="shared" si="13"/>
        <v>25.455822621084035</v>
      </c>
      <c r="G112" s="6">
        <f t="shared" si="13"/>
        <v>5.091164524216806</v>
      </c>
      <c r="H112" s="6"/>
      <c r="I112" s="6"/>
    </row>
    <row r="113" spans="1:9" ht="12" customHeight="1">
      <c r="A113" s="68"/>
      <c r="B113" s="4">
        <v>4000</v>
      </c>
      <c r="C113" s="5" t="s">
        <v>103</v>
      </c>
      <c r="D113" s="2" t="s">
        <v>100</v>
      </c>
      <c r="E113" s="6">
        <f t="shared" si="13"/>
        <v>169.70548414056015</v>
      </c>
      <c r="F113" s="6">
        <f t="shared" si="13"/>
        <v>33.94109682811204</v>
      </c>
      <c r="G113" s="6">
        <f t="shared" si="13"/>
        <v>6.788219365622407</v>
      </c>
      <c r="H113" s="6"/>
      <c r="I113" s="6"/>
    </row>
    <row r="114" spans="1:9" ht="12" customHeight="1">
      <c r="A114" s="68"/>
      <c r="B114" s="4">
        <v>5000</v>
      </c>
      <c r="C114" s="5" t="s">
        <v>103</v>
      </c>
      <c r="D114" s="2" t="s">
        <v>100</v>
      </c>
      <c r="E114" s="6">
        <f t="shared" si="13"/>
        <v>212.1318551757002</v>
      </c>
      <c r="F114" s="6">
        <f t="shared" si="13"/>
        <v>42.42637103514005</v>
      </c>
      <c r="G114" s="6">
        <f t="shared" si="13"/>
        <v>8.48527420702801</v>
      </c>
      <c r="H114" s="6"/>
      <c r="I114" s="6"/>
    </row>
    <row r="115" spans="1:9" ht="12" customHeight="1">
      <c r="A115" s="68"/>
      <c r="B115" s="4">
        <v>7000</v>
      </c>
      <c r="C115" s="5" t="s">
        <v>103</v>
      </c>
      <c r="D115" s="2" t="s">
        <v>100</v>
      </c>
      <c r="E115" s="6">
        <f t="shared" si="13"/>
        <v>296.9845972459803</v>
      </c>
      <c r="F115" s="6">
        <f t="shared" si="13"/>
        <v>59.39691944919607</v>
      </c>
      <c r="G115" s="6">
        <f t="shared" si="13"/>
        <v>11.879383889839211</v>
      </c>
      <c r="H115" s="6"/>
      <c r="I115" s="6"/>
    </row>
    <row r="116" spans="1:9" ht="12" customHeight="1">
      <c r="A116" s="68"/>
      <c r="B116" s="4">
        <v>10000</v>
      </c>
      <c r="C116" s="5" t="s">
        <v>103</v>
      </c>
      <c r="D116" s="2" t="s">
        <v>100</v>
      </c>
      <c r="E116" s="6">
        <f t="shared" si="13"/>
        <v>424.2637103514004</v>
      </c>
      <c r="F116" s="6">
        <f t="shared" si="13"/>
        <v>84.8527420702801</v>
      </c>
      <c r="G116" s="6">
        <f t="shared" si="13"/>
        <v>16.97054841405602</v>
      </c>
      <c r="H116" s="6"/>
      <c r="I116" s="6"/>
    </row>
    <row r="117" spans="1:9" ht="12" customHeight="1">
      <c r="A117" s="68"/>
      <c r="B117" s="4">
        <v>15000</v>
      </c>
      <c r="C117" s="5" t="s">
        <v>103</v>
      </c>
      <c r="D117" s="2" t="s">
        <v>100</v>
      </c>
      <c r="E117" s="6">
        <f t="shared" si="13"/>
        <v>636.3955655271006</v>
      </c>
      <c r="F117" s="6">
        <f t="shared" si="13"/>
        <v>127.27911310542015</v>
      </c>
      <c r="G117" s="6">
        <f t="shared" si="13"/>
        <v>25.455822621084025</v>
      </c>
      <c r="H117" s="6"/>
      <c r="I117" s="6"/>
    </row>
    <row r="118" spans="1:9" ht="12" customHeight="1">
      <c r="A118" s="69"/>
      <c r="B118" s="4">
        <v>20000</v>
      </c>
      <c r="C118" s="5" t="s">
        <v>103</v>
      </c>
      <c r="D118" s="2" t="s">
        <v>100</v>
      </c>
      <c r="E118" s="6">
        <f t="shared" si="13"/>
        <v>848.5274207028008</v>
      </c>
      <c r="F118" s="6">
        <f t="shared" si="13"/>
        <v>169.7054841405602</v>
      </c>
      <c r="G118" s="6">
        <f t="shared" si="13"/>
        <v>33.94109682811204</v>
      </c>
      <c r="H118" s="6"/>
      <c r="I118" s="6"/>
    </row>
    <row r="119" spans="1:9" ht="12" customHeight="1">
      <c r="A119" s="67" t="s">
        <v>139</v>
      </c>
      <c r="B119" s="4">
        <v>20</v>
      </c>
      <c r="C119" s="5" t="s">
        <v>103</v>
      </c>
      <c r="D119" s="2" t="s">
        <v>100</v>
      </c>
      <c r="E119" s="6">
        <f aca="true" t="shared" si="14" ref="E119:G140">1/(2*3.14159*$B97*E$19/1000000)</f>
        <v>84.85288541455185</v>
      </c>
      <c r="F119" s="6">
        <f t="shared" si="14"/>
        <v>424.2644270727593</v>
      </c>
      <c r="G119" s="6">
        <f t="shared" si="14"/>
        <v>2121.3221353637964</v>
      </c>
      <c r="H119" s="6"/>
      <c r="I119" s="6"/>
    </row>
    <row r="120" spans="1:9" ht="12" customHeight="1">
      <c r="A120" s="68"/>
      <c r="B120" s="4">
        <v>30</v>
      </c>
      <c r="C120" s="5" t="s">
        <v>103</v>
      </c>
      <c r="D120" s="2" t="s">
        <v>100</v>
      </c>
      <c r="E120" s="6">
        <f t="shared" si="14"/>
        <v>56.56859027636791</v>
      </c>
      <c r="F120" s="6">
        <f t="shared" si="14"/>
        <v>282.8429513818395</v>
      </c>
      <c r="G120" s="6">
        <f t="shared" si="14"/>
        <v>1414.2147569091978</v>
      </c>
      <c r="H120" s="6"/>
      <c r="I120" s="6"/>
    </row>
    <row r="121" spans="1:9" ht="12" customHeight="1">
      <c r="A121" s="68"/>
      <c r="B121" s="4">
        <v>40</v>
      </c>
      <c r="C121" s="5" t="s">
        <v>103</v>
      </c>
      <c r="D121" s="2" t="s">
        <v>100</v>
      </c>
      <c r="E121" s="6">
        <f t="shared" si="14"/>
        <v>42.426442707275925</v>
      </c>
      <c r="F121" s="6">
        <f t="shared" si="14"/>
        <v>212.13221353637965</v>
      </c>
      <c r="G121" s="6">
        <f t="shared" si="14"/>
        <v>1060.6610676818982</v>
      </c>
      <c r="H121" s="6"/>
      <c r="I121" s="6"/>
    </row>
    <row r="122" spans="1:9" ht="12" customHeight="1">
      <c r="A122" s="68"/>
      <c r="B122" s="4">
        <v>50</v>
      </c>
      <c r="C122" s="5" t="s">
        <v>103</v>
      </c>
      <c r="D122" s="2" t="s">
        <v>100</v>
      </c>
      <c r="E122" s="6">
        <f t="shared" si="14"/>
        <v>33.94115416582074</v>
      </c>
      <c r="F122" s="6">
        <f t="shared" si="14"/>
        <v>169.70577082910373</v>
      </c>
      <c r="G122" s="6">
        <f t="shared" si="14"/>
        <v>848.5288541455187</v>
      </c>
      <c r="H122" s="6"/>
      <c r="I122" s="6"/>
    </row>
    <row r="123" spans="1:9" ht="12" customHeight="1">
      <c r="A123" s="68"/>
      <c r="B123" s="4">
        <v>70</v>
      </c>
      <c r="C123" s="5" t="s">
        <v>103</v>
      </c>
      <c r="D123" s="2" t="s">
        <v>100</v>
      </c>
      <c r="E123" s="6">
        <f t="shared" si="14"/>
        <v>24.24368154701482</v>
      </c>
      <c r="F123" s="6">
        <f t="shared" si="14"/>
        <v>121.2184077350741</v>
      </c>
      <c r="G123" s="6">
        <f t="shared" si="14"/>
        <v>606.0920386753704</v>
      </c>
      <c r="H123" s="6"/>
      <c r="I123" s="6"/>
    </row>
    <row r="124" spans="1:9" ht="12" customHeight="1">
      <c r="A124" s="68"/>
      <c r="B124" s="4">
        <v>100</v>
      </c>
      <c r="C124" s="5" t="s">
        <v>103</v>
      </c>
      <c r="D124" s="2" t="s">
        <v>100</v>
      </c>
      <c r="E124" s="6">
        <f t="shared" si="14"/>
        <v>16.97057708291037</v>
      </c>
      <c r="F124" s="6">
        <f t="shared" si="14"/>
        <v>84.85288541455186</v>
      </c>
      <c r="G124" s="6">
        <f t="shared" si="14"/>
        <v>424.26442707275936</v>
      </c>
      <c r="H124" s="6"/>
      <c r="I124" s="6"/>
    </row>
    <row r="125" spans="1:9" ht="12" customHeight="1">
      <c r="A125" s="68"/>
      <c r="B125" s="4">
        <v>150</v>
      </c>
      <c r="C125" s="5" t="s">
        <v>103</v>
      </c>
      <c r="D125" s="2" t="s">
        <v>100</v>
      </c>
      <c r="E125" s="6">
        <f t="shared" si="14"/>
        <v>11.31371805527358</v>
      </c>
      <c r="F125" s="6">
        <f t="shared" si="14"/>
        <v>56.56859027636791</v>
      </c>
      <c r="G125" s="6">
        <f t="shared" si="14"/>
        <v>282.8429513818395</v>
      </c>
      <c r="H125" s="6"/>
      <c r="I125" s="6"/>
    </row>
    <row r="126" spans="1:9" ht="12" customHeight="1">
      <c r="A126" s="68"/>
      <c r="B126" s="4">
        <v>200</v>
      </c>
      <c r="C126" s="5" t="s">
        <v>103</v>
      </c>
      <c r="D126" s="2" t="s">
        <v>100</v>
      </c>
      <c r="E126" s="6">
        <f t="shared" si="14"/>
        <v>8.485288541455185</v>
      </c>
      <c r="F126" s="6">
        <f t="shared" si="14"/>
        <v>42.42644270727593</v>
      </c>
      <c r="G126" s="6">
        <f t="shared" si="14"/>
        <v>212.13221353637968</v>
      </c>
      <c r="H126" s="6"/>
      <c r="I126" s="6"/>
    </row>
    <row r="127" spans="1:9" ht="12" customHeight="1">
      <c r="A127" s="68"/>
      <c r="B127" s="4">
        <v>300</v>
      </c>
      <c r="C127" s="5" t="s">
        <v>103</v>
      </c>
      <c r="D127" s="2" t="s">
        <v>100</v>
      </c>
      <c r="E127" s="6">
        <f t="shared" si="14"/>
        <v>5.65685902763679</v>
      </c>
      <c r="F127" s="6">
        <f t="shared" si="14"/>
        <v>28.284295138183953</v>
      </c>
      <c r="G127" s="6">
        <f t="shared" si="14"/>
        <v>141.42147569091975</v>
      </c>
      <c r="H127" s="6"/>
      <c r="I127" s="6"/>
    </row>
    <row r="128" spans="1:9" ht="12" customHeight="1">
      <c r="A128" s="68"/>
      <c r="B128" s="4">
        <v>400</v>
      </c>
      <c r="C128" s="5" t="s">
        <v>103</v>
      </c>
      <c r="D128" s="2" t="s">
        <v>100</v>
      </c>
      <c r="E128" s="6">
        <f t="shared" si="14"/>
        <v>4.242644270727593</v>
      </c>
      <c r="F128" s="6">
        <f t="shared" si="14"/>
        <v>21.213221353637966</v>
      </c>
      <c r="G128" s="6">
        <f t="shared" si="14"/>
        <v>106.06610676818984</v>
      </c>
      <c r="H128" s="6"/>
      <c r="I128" s="6"/>
    </row>
    <row r="129" spans="1:9" ht="12" customHeight="1">
      <c r="A129" s="68"/>
      <c r="B129" s="4">
        <v>500</v>
      </c>
      <c r="C129" s="5" t="s">
        <v>103</v>
      </c>
      <c r="D129" s="2" t="s">
        <v>100</v>
      </c>
      <c r="E129" s="6">
        <f t="shared" si="14"/>
        <v>3.3941154165820744</v>
      </c>
      <c r="F129" s="6">
        <f t="shared" si="14"/>
        <v>16.970577082910374</v>
      </c>
      <c r="G129" s="6">
        <f t="shared" si="14"/>
        <v>84.85288541455186</v>
      </c>
      <c r="H129" s="6"/>
      <c r="I129" s="6"/>
    </row>
    <row r="130" spans="1:9" ht="12" customHeight="1">
      <c r="A130" s="68"/>
      <c r="B130" s="4">
        <v>700</v>
      </c>
      <c r="C130" s="5" t="s">
        <v>103</v>
      </c>
      <c r="D130" s="2" t="s">
        <v>100</v>
      </c>
      <c r="E130" s="6">
        <f t="shared" si="14"/>
        <v>2.4243681547014817</v>
      </c>
      <c r="F130" s="6">
        <f t="shared" si="14"/>
        <v>12.12184077350741</v>
      </c>
      <c r="G130" s="6">
        <f t="shared" si="14"/>
        <v>60.60920386753705</v>
      </c>
      <c r="H130" s="6"/>
      <c r="I130" s="6"/>
    </row>
    <row r="131" spans="1:9" ht="12" customHeight="1">
      <c r="A131" s="68"/>
      <c r="B131" s="4" t="s">
        <v>5</v>
      </c>
      <c r="C131" s="5" t="s">
        <v>103</v>
      </c>
      <c r="D131" s="2" t="s">
        <v>100</v>
      </c>
      <c r="E131" s="6">
        <f t="shared" si="14"/>
        <v>1.6970577082910372</v>
      </c>
      <c r="F131" s="6">
        <f t="shared" si="14"/>
        <v>8.485288541455187</v>
      </c>
      <c r="G131" s="6">
        <f t="shared" si="14"/>
        <v>42.42644270727593</v>
      </c>
      <c r="H131" s="6"/>
      <c r="I131" s="6"/>
    </row>
    <row r="132" spans="1:9" ht="12" customHeight="1">
      <c r="A132" s="68"/>
      <c r="B132" s="4" t="s">
        <v>6</v>
      </c>
      <c r="C132" s="5" t="s">
        <v>103</v>
      </c>
      <c r="D132" s="2" t="s">
        <v>100</v>
      </c>
      <c r="E132" s="6">
        <f t="shared" si="14"/>
        <v>1.1313718055273578</v>
      </c>
      <c r="F132" s="6">
        <f t="shared" si="14"/>
        <v>5.65685902763679</v>
      </c>
      <c r="G132" s="6">
        <f t="shared" si="14"/>
        <v>28.284295138183953</v>
      </c>
      <c r="H132" s="6"/>
      <c r="I132" s="6"/>
    </row>
    <row r="133" spans="1:9" ht="12" customHeight="1">
      <c r="A133" s="68"/>
      <c r="B133" s="4" t="s">
        <v>7</v>
      </c>
      <c r="C133" s="5" t="s">
        <v>103</v>
      </c>
      <c r="D133" s="2" t="s">
        <v>100</v>
      </c>
      <c r="E133" s="6">
        <f t="shared" si="14"/>
        <v>0.8485288541455186</v>
      </c>
      <c r="F133" s="6">
        <f t="shared" si="14"/>
        <v>4.2426442707275935</v>
      </c>
      <c r="G133" s="6">
        <f t="shared" si="14"/>
        <v>21.213221353637966</v>
      </c>
      <c r="H133" s="6"/>
      <c r="I133" s="6"/>
    </row>
    <row r="134" spans="1:9" ht="12" customHeight="1">
      <c r="A134" s="68"/>
      <c r="B134" s="4" t="s">
        <v>8</v>
      </c>
      <c r="C134" s="5" t="s">
        <v>103</v>
      </c>
      <c r="D134" s="2" t="s">
        <v>100</v>
      </c>
      <c r="E134" s="6">
        <f t="shared" si="14"/>
        <v>0.5656859027636789</v>
      </c>
      <c r="F134" s="6">
        <f t="shared" si="14"/>
        <v>2.828429513818395</v>
      </c>
      <c r="G134" s="6">
        <f t="shared" si="14"/>
        <v>14.142147569091977</v>
      </c>
      <c r="H134" s="6"/>
      <c r="I134" s="6"/>
    </row>
    <row r="135" spans="1:9" ht="12" customHeight="1">
      <c r="A135" s="68"/>
      <c r="B135" s="4" t="s">
        <v>9</v>
      </c>
      <c r="C135" s="5" t="s">
        <v>103</v>
      </c>
      <c r="D135" s="2" t="s">
        <v>100</v>
      </c>
      <c r="E135" s="6">
        <f t="shared" si="14"/>
        <v>0.4242644270727593</v>
      </c>
      <c r="F135" s="6">
        <f t="shared" si="14"/>
        <v>2.1213221353637968</v>
      </c>
      <c r="G135" s="6">
        <f t="shared" si="14"/>
        <v>10.606610676818983</v>
      </c>
      <c r="H135" s="6"/>
      <c r="I135" s="6"/>
    </row>
    <row r="136" spans="1:9" ht="12" customHeight="1">
      <c r="A136" s="68"/>
      <c r="B136" s="4" t="s">
        <v>10</v>
      </c>
      <c r="C136" s="5" t="s">
        <v>103</v>
      </c>
      <c r="D136" s="2" t="s">
        <v>100</v>
      </c>
      <c r="E136" s="6">
        <f t="shared" si="14"/>
        <v>0.3394115416582074</v>
      </c>
      <c r="F136" s="6">
        <f t="shared" si="14"/>
        <v>1.6970577082910372</v>
      </c>
      <c r="G136" s="6">
        <f t="shared" si="14"/>
        <v>8.485288541455187</v>
      </c>
      <c r="H136" s="6"/>
      <c r="I136" s="6"/>
    </row>
    <row r="137" spans="1:9" ht="12" customHeight="1">
      <c r="A137" s="68"/>
      <c r="B137" s="4" t="s">
        <v>11</v>
      </c>
      <c r="C137" s="5" t="s">
        <v>103</v>
      </c>
      <c r="D137" s="2" t="s">
        <v>100</v>
      </c>
      <c r="E137" s="6">
        <f t="shared" si="14"/>
        <v>0.24243681547014817</v>
      </c>
      <c r="F137" s="6">
        <f t="shared" si="14"/>
        <v>1.2121840773507409</v>
      </c>
      <c r="G137" s="6">
        <f t="shared" si="14"/>
        <v>6.060920386753705</v>
      </c>
      <c r="H137" s="6"/>
      <c r="I137" s="6"/>
    </row>
    <row r="138" spans="1:9" ht="12" customHeight="1">
      <c r="A138" s="68"/>
      <c r="B138" s="4" t="s">
        <v>12</v>
      </c>
      <c r="C138" s="5" t="s">
        <v>103</v>
      </c>
      <c r="D138" s="2" t="s">
        <v>100</v>
      </c>
      <c r="E138" s="6">
        <f t="shared" si="14"/>
        <v>0.1697057708291037</v>
      </c>
      <c r="F138" s="6">
        <f t="shared" si="14"/>
        <v>0.8485288541455186</v>
      </c>
      <c r="G138" s="6">
        <f t="shared" si="14"/>
        <v>4.2426442707275935</v>
      </c>
      <c r="H138" s="6"/>
      <c r="I138" s="6"/>
    </row>
    <row r="139" spans="1:9" ht="12" customHeight="1">
      <c r="A139" s="68"/>
      <c r="B139" s="4" t="s">
        <v>13</v>
      </c>
      <c r="C139" s="5" t="s">
        <v>103</v>
      </c>
      <c r="D139" s="2" t="s">
        <v>100</v>
      </c>
      <c r="E139" s="6">
        <f t="shared" si="14"/>
        <v>0.11313718055273579</v>
      </c>
      <c r="F139" s="6">
        <f t="shared" si="14"/>
        <v>0.565685902763679</v>
      </c>
      <c r="G139" s="6">
        <f t="shared" si="14"/>
        <v>2.8284295138183952</v>
      </c>
      <c r="H139" s="6"/>
      <c r="I139" s="6"/>
    </row>
    <row r="140" spans="1:9" ht="12" customHeight="1">
      <c r="A140" s="69"/>
      <c r="B140" s="4" t="s">
        <v>14</v>
      </c>
      <c r="C140" s="5" t="s">
        <v>103</v>
      </c>
      <c r="D140" s="2" t="s">
        <v>100</v>
      </c>
      <c r="E140" s="6">
        <f t="shared" si="14"/>
        <v>0.08485288541455185</v>
      </c>
      <c r="F140" s="6">
        <f t="shared" si="14"/>
        <v>0.4242644270727593</v>
      </c>
      <c r="G140" s="6">
        <f t="shared" si="14"/>
        <v>2.1213221353637968</v>
      </c>
      <c r="H140" s="6"/>
      <c r="I140" s="6"/>
    </row>
    <row r="141" spans="1:9" ht="12" customHeight="1">
      <c r="A141" s="67" t="s">
        <v>132</v>
      </c>
      <c r="B141" s="4">
        <v>20</v>
      </c>
      <c r="C141" s="5" t="s">
        <v>103</v>
      </c>
      <c r="D141" s="52" t="s">
        <v>99</v>
      </c>
      <c r="E141" s="40">
        <f>F141*F119^2/(F141^2*F97^2*F119^2+((1+F163*F119)*F97-F119)^2)</f>
        <v>0.16666664000009435</v>
      </c>
      <c r="F141" s="37">
        <f>E$28*E119^2/(E97^2*E119^2+E$28^2*(E97-E119)^2)+F$28*E97^2/(E97^2*E119^2+F$28^2*(E97-E119)^2)</f>
        <v>0.16666666666666666</v>
      </c>
      <c r="G141" s="37">
        <f>G$28*G119^2/(G97^2*G119^2+G$28^2*(G97-G119)^2)+H$28*G97^2/(G97^2*G119^2+H$28^2*(G97-G119)^2)</f>
        <v>0.16666666666666669</v>
      </c>
      <c r="H141" s="37">
        <f>G141*F97^2/(G141^2*F97^2*F119^2+((1-G163*F97)*F119-F97)^2)</f>
        <v>2.6666572302664733E-08</v>
      </c>
      <c r="I141" s="37">
        <f aca="true" t="shared" si="15" ref="I141:I184">E141+H141</f>
        <v>0.16666666666666666</v>
      </c>
    </row>
    <row r="142" spans="1:9" ht="12" customHeight="1">
      <c r="A142" s="68"/>
      <c r="B142" s="4">
        <v>30</v>
      </c>
      <c r="C142" s="5" t="s">
        <v>103</v>
      </c>
      <c r="D142" s="52" t="s">
        <v>99</v>
      </c>
      <c r="E142" s="40">
        <f aca="true" t="shared" si="16" ref="E142:E162">F142*F120^2/(F142^2*F98^2*F120^2+((1+F164*F120)*F98-F120)^2)</f>
        <v>0.16666653166723214</v>
      </c>
      <c r="F142" s="37">
        <f aca="true" t="shared" si="17" ref="F142:F162">E$28*E120^2/(E98^2*E120^2+E$28^2*(E98-E120)^2)+F$28*E98^2/(E98^2*E120^2+F$28^2*(E98-E120)^2)</f>
        <v>0.16666666666666666</v>
      </c>
      <c r="G142" s="37">
        <f aca="true" t="shared" si="18" ref="G142:G162">G$28*G120^2/(G98^2*G120^2+G$28^2*(G98-G120)^2)+H$28*G98^2/(G98^2*G120^2+H$28^2*(G98-G120)^2)</f>
        <v>0.16666666666666666</v>
      </c>
      <c r="H142" s="37">
        <f aca="true" t="shared" si="19" ref="H142:H162">G142*F98^2/(G142^2*F98^2*F120^2+((1-G164*F98)*F120-F98)^2)</f>
        <v>1.3499943453291834E-07</v>
      </c>
      <c r="I142" s="37">
        <f t="shared" si="15"/>
        <v>0.16666666666666666</v>
      </c>
    </row>
    <row r="143" spans="1:9" ht="12" customHeight="1">
      <c r="A143" s="68"/>
      <c r="B143" s="4">
        <v>40</v>
      </c>
      <c r="C143" s="5" t="s">
        <v>103</v>
      </c>
      <c r="D143" s="52" t="s">
        <v>99</v>
      </c>
      <c r="E143" s="40">
        <f t="shared" si="16"/>
        <v>0.16666624000253383</v>
      </c>
      <c r="F143" s="37">
        <f t="shared" si="17"/>
        <v>0.16666666666666669</v>
      </c>
      <c r="G143" s="37">
        <f t="shared" si="18"/>
        <v>0.16666666666666669</v>
      </c>
      <c r="H143" s="37">
        <f t="shared" si="19"/>
        <v>4.2666413285234045E-07</v>
      </c>
      <c r="I143" s="37">
        <f t="shared" si="15"/>
        <v>0.16666666666666669</v>
      </c>
    </row>
    <row r="144" spans="1:9" ht="12" customHeight="1">
      <c r="A144" s="68"/>
      <c r="B144" s="4">
        <v>50</v>
      </c>
      <c r="C144" s="5" t="s">
        <v>103</v>
      </c>
      <c r="D144" s="52" t="s">
        <v>99</v>
      </c>
      <c r="E144" s="40">
        <f t="shared" si="16"/>
        <v>0.16666562501002974</v>
      </c>
      <c r="F144" s="37">
        <f t="shared" si="17"/>
        <v>0.16666666666666666</v>
      </c>
      <c r="G144" s="37">
        <f t="shared" si="18"/>
        <v>0.1666666666666667</v>
      </c>
      <c r="H144" s="37">
        <f t="shared" si="19"/>
        <v>1.041656636906371E-06</v>
      </c>
      <c r="I144" s="37">
        <f t="shared" si="15"/>
        <v>0.16666666666666666</v>
      </c>
    </row>
    <row r="145" spans="1:9" ht="12" customHeight="1">
      <c r="A145" s="68"/>
      <c r="B145" s="4">
        <v>70</v>
      </c>
      <c r="C145" s="5" t="s">
        <v>103</v>
      </c>
      <c r="D145" s="52" t="s">
        <v>99</v>
      </c>
      <c r="E145" s="40">
        <f t="shared" si="16"/>
        <v>0.16666266510959732</v>
      </c>
      <c r="F145" s="37">
        <f t="shared" si="17"/>
        <v>0.16666666666666669</v>
      </c>
      <c r="G145" s="37">
        <f t="shared" si="18"/>
        <v>0.16666666666666663</v>
      </c>
      <c r="H145" s="37">
        <f t="shared" si="19"/>
        <v>4.001557069370241E-06</v>
      </c>
      <c r="I145" s="37">
        <f t="shared" si="15"/>
        <v>0.16666666666666669</v>
      </c>
    </row>
    <row r="146" spans="1:9" ht="12" customHeight="1">
      <c r="A146" s="68"/>
      <c r="B146" s="4">
        <v>100</v>
      </c>
      <c r="C146" s="5" t="s">
        <v>103</v>
      </c>
      <c r="D146" s="52" t="s">
        <v>99</v>
      </c>
      <c r="E146" s="40">
        <f t="shared" si="16"/>
        <v>0.1666500017227996</v>
      </c>
      <c r="F146" s="37">
        <f t="shared" si="17"/>
        <v>0.16666666666666666</v>
      </c>
      <c r="G146" s="37">
        <f t="shared" si="18"/>
        <v>0.16666666666666666</v>
      </c>
      <c r="H146" s="37">
        <f t="shared" si="19"/>
        <v>1.6664943867057478E-05</v>
      </c>
      <c r="I146" s="37">
        <f t="shared" si="15"/>
        <v>0.16666666666666666</v>
      </c>
    </row>
    <row r="147" spans="1:9" ht="12" customHeight="1">
      <c r="A147" s="68"/>
      <c r="B147" s="4">
        <v>150</v>
      </c>
      <c r="C147" s="5" t="s">
        <v>103</v>
      </c>
      <c r="D147" s="52" t="s">
        <v>99</v>
      </c>
      <c r="E147" s="40">
        <f t="shared" si="16"/>
        <v>0.16658233464468225</v>
      </c>
      <c r="F147" s="37">
        <f t="shared" si="17"/>
        <v>0.16666666666666669</v>
      </c>
      <c r="G147" s="37">
        <f t="shared" si="18"/>
        <v>0.16666666666666669</v>
      </c>
      <c r="H147" s="37">
        <f t="shared" si="19"/>
        <v>8.433202198442218E-05</v>
      </c>
      <c r="I147" s="37">
        <f t="shared" si="15"/>
        <v>0.16666666666666669</v>
      </c>
    </row>
    <row r="148" spans="1:9" ht="12" customHeight="1">
      <c r="A148" s="68"/>
      <c r="B148" s="4">
        <v>200</v>
      </c>
      <c r="C148" s="5" t="s">
        <v>103</v>
      </c>
      <c r="D148" s="52" t="s">
        <v>99</v>
      </c>
      <c r="E148" s="40">
        <f t="shared" si="16"/>
        <v>0.16640042688318799</v>
      </c>
      <c r="F148" s="37">
        <f t="shared" si="17"/>
        <v>0.16666666666666669</v>
      </c>
      <c r="G148" s="37">
        <f t="shared" si="18"/>
        <v>0.16666666666666669</v>
      </c>
      <c r="H148" s="37">
        <f t="shared" si="19"/>
        <v>0.0002662397834787032</v>
      </c>
      <c r="I148" s="37">
        <f t="shared" si="15"/>
        <v>0.16666666666666669</v>
      </c>
    </row>
    <row r="149" spans="1:9" ht="12" customHeight="1">
      <c r="A149" s="68"/>
      <c r="B149" s="4">
        <v>300</v>
      </c>
      <c r="C149" s="5" t="s">
        <v>103</v>
      </c>
      <c r="D149" s="52" t="s">
        <v>99</v>
      </c>
      <c r="E149" s="40">
        <f t="shared" si="16"/>
        <v>0.1653275182930237</v>
      </c>
      <c r="F149" s="37">
        <f t="shared" si="17"/>
        <v>0.16666666666666666</v>
      </c>
      <c r="G149" s="37">
        <f t="shared" si="18"/>
        <v>0.16666666666666669</v>
      </c>
      <c r="H149" s="37">
        <f t="shared" si="19"/>
        <v>0.0013391483736429732</v>
      </c>
      <c r="I149" s="37">
        <f t="shared" si="15"/>
        <v>0.16666666666666666</v>
      </c>
    </row>
    <row r="150" spans="1:9" ht="12" customHeight="1">
      <c r="A150" s="68"/>
      <c r="B150" s="4">
        <v>400</v>
      </c>
      <c r="C150" s="5" t="s">
        <v>103</v>
      </c>
      <c r="D150" s="52" t="s">
        <v>99</v>
      </c>
      <c r="E150" s="40">
        <f t="shared" si="16"/>
        <v>0.1625065139649171</v>
      </c>
      <c r="F150" s="37">
        <f t="shared" si="17"/>
        <v>0.16666666666666669</v>
      </c>
      <c r="G150" s="37">
        <f t="shared" si="18"/>
        <v>0.16666666666666669</v>
      </c>
      <c r="H150" s="37">
        <f t="shared" si="19"/>
        <v>0.004160152701749557</v>
      </c>
      <c r="I150" s="37">
        <f t="shared" si="15"/>
        <v>0.16666666666666666</v>
      </c>
    </row>
    <row r="151" spans="1:9" ht="12" customHeight="1">
      <c r="A151" s="68"/>
      <c r="B151" s="4">
        <v>500</v>
      </c>
      <c r="C151" s="5" t="s">
        <v>103</v>
      </c>
      <c r="D151" s="52" t="s">
        <v>99</v>
      </c>
      <c r="E151" s="40">
        <f t="shared" si="16"/>
        <v>0.15686277627360415</v>
      </c>
      <c r="F151" s="37">
        <f t="shared" si="17"/>
        <v>0.16666666666666666</v>
      </c>
      <c r="G151" s="37">
        <f t="shared" si="18"/>
        <v>0.16666666666666666</v>
      </c>
      <c r="H151" s="37">
        <f t="shared" si="19"/>
        <v>0.009803890393062504</v>
      </c>
      <c r="I151" s="37">
        <f t="shared" si="15"/>
        <v>0.16666666666666666</v>
      </c>
    </row>
    <row r="152" spans="1:9" ht="12" customHeight="1">
      <c r="A152" s="68"/>
      <c r="B152" s="4">
        <v>700</v>
      </c>
      <c r="C152" s="5" t="s">
        <v>103</v>
      </c>
      <c r="D152" s="52" t="s">
        <v>99</v>
      </c>
      <c r="E152" s="40">
        <f t="shared" si="16"/>
        <v>0.1343978515378641</v>
      </c>
      <c r="F152" s="37">
        <f t="shared" si="17"/>
        <v>0.1666666666666667</v>
      </c>
      <c r="G152" s="37">
        <f t="shared" si="18"/>
        <v>0.16666666666666666</v>
      </c>
      <c r="H152" s="37">
        <f t="shared" si="19"/>
        <v>0.03226881512880252</v>
      </c>
      <c r="I152" s="37">
        <f t="shared" si="15"/>
        <v>0.16666666666666663</v>
      </c>
    </row>
    <row r="153" spans="1:9" ht="12" customHeight="1">
      <c r="A153" s="68"/>
      <c r="B153" s="4" t="s">
        <v>5</v>
      </c>
      <c r="C153" s="5" t="s">
        <v>103</v>
      </c>
      <c r="D153" s="52" t="s">
        <v>99</v>
      </c>
      <c r="E153" s="40">
        <f t="shared" si="16"/>
        <v>0.08333347411070362</v>
      </c>
      <c r="F153" s="37">
        <f t="shared" si="17"/>
        <v>0.16666666666666663</v>
      </c>
      <c r="G153" s="37">
        <f t="shared" si="18"/>
        <v>0.16666666666666666</v>
      </c>
      <c r="H153" s="37">
        <f t="shared" si="19"/>
        <v>0.083333192555963</v>
      </c>
      <c r="I153" s="37">
        <f t="shared" si="15"/>
        <v>0.16666666666666663</v>
      </c>
    </row>
    <row r="154" spans="1:9" ht="12" customHeight="1">
      <c r="A154" s="68"/>
      <c r="B154" s="4" t="s">
        <v>6</v>
      </c>
      <c r="C154" s="5" t="s">
        <v>103</v>
      </c>
      <c r="D154" s="52" t="s">
        <v>99</v>
      </c>
      <c r="E154" s="40">
        <f t="shared" si="16"/>
        <v>0.02749148649775536</v>
      </c>
      <c r="F154" s="37">
        <f t="shared" si="17"/>
        <v>0.16666666666666666</v>
      </c>
      <c r="G154" s="37">
        <f t="shared" si="18"/>
        <v>0.16666666666666666</v>
      </c>
      <c r="H154" s="37">
        <f t="shared" si="19"/>
        <v>0.13917518016891128</v>
      </c>
      <c r="I154" s="37">
        <f t="shared" si="15"/>
        <v>0.16666666666666663</v>
      </c>
    </row>
    <row r="155" spans="1:9" ht="12" customHeight="1">
      <c r="A155" s="68"/>
      <c r="B155" s="4" t="s">
        <v>7</v>
      </c>
      <c r="C155" s="5" t="s">
        <v>103</v>
      </c>
      <c r="D155" s="52" t="s">
        <v>99</v>
      </c>
      <c r="E155" s="40">
        <f t="shared" si="16"/>
        <v>0.009803952744285338</v>
      </c>
      <c r="F155" s="37">
        <f t="shared" si="17"/>
        <v>0.16666666666666666</v>
      </c>
      <c r="G155" s="37">
        <f t="shared" si="18"/>
        <v>0.16666666666666666</v>
      </c>
      <c r="H155" s="37">
        <f t="shared" si="19"/>
        <v>0.15686271392238132</v>
      </c>
      <c r="I155" s="37">
        <f t="shared" si="15"/>
        <v>0.16666666666666666</v>
      </c>
    </row>
    <row r="156" spans="1:9" ht="12" customHeight="1">
      <c r="A156" s="68"/>
      <c r="B156" s="4" t="s">
        <v>8</v>
      </c>
      <c r="C156" s="5" t="s">
        <v>103</v>
      </c>
      <c r="D156" s="52" t="s">
        <v>99</v>
      </c>
      <c r="E156" s="40">
        <f t="shared" si="16"/>
        <v>0.0020325271086570197</v>
      </c>
      <c r="F156" s="37">
        <f t="shared" si="17"/>
        <v>0.16666666666666666</v>
      </c>
      <c r="G156" s="37">
        <f t="shared" si="18"/>
        <v>0.16666666666666666</v>
      </c>
      <c r="H156" s="37">
        <f t="shared" si="19"/>
        <v>0.16463413955800962</v>
      </c>
      <c r="I156" s="37">
        <f t="shared" si="15"/>
        <v>0.16666666666666663</v>
      </c>
    </row>
    <row r="157" spans="1:9" ht="12" customHeight="1">
      <c r="A157" s="68"/>
      <c r="B157" s="4" t="s">
        <v>9</v>
      </c>
      <c r="C157" s="5" t="s">
        <v>103</v>
      </c>
      <c r="D157" s="52" t="s">
        <v>99</v>
      </c>
      <c r="E157" s="40">
        <f t="shared" si="16"/>
        <v>0.0006485106131750996</v>
      </c>
      <c r="F157" s="37">
        <f t="shared" si="17"/>
        <v>0.16666666666666666</v>
      </c>
      <c r="G157" s="37">
        <f t="shared" si="18"/>
        <v>0.16666666666666669</v>
      </c>
      <c r="H157" s="37">
        <f t="shared" si="19"/>
        <v>0.16601815605349157</v>
      </c>
      <c r="I157" s="37">
        <f t="shared" si="15"/>
        <v>0.16666666666666669</v>
      </c>
    </row>
    <row r="158" spans="1:9" ht="12" customHeight="1">
      <c r="A158" s="68"/>
      <c r="B158" s="4" t="s">
        <v>10</v>
      </c>
      <c r="C158" s="5" t="s">
        <v>103</v>
      </c>
      <c r="D158" s="52" t="s">
        <v>99</v>
      </c>
      <c r="E158" s="40">
        <f t="shared" si="16"/>
        <v>0.0002662415796766112</v>
      </c>
      <c r="F158" s="37">
        <f t="shared" si="17"/>
        <v>0.16666666666666666</v>
      </c>
      <c r="G158" s="37">
        <f t="shared" si="18"/>
        <v>0.16666666666666663</v>
      </c>
      <c r="H158" s="37">
        <f t="shared" si="19"/>
        <v>0.16640042508699002</v>
      </c>
      <c r="I158" s="37">
        <f t="shared" si="15"/>
        <v>0.16666666666666663</v>
      </c>
    </row>
    <row r="159" spans="1:9" ht="12" customHeight="1">
      <c r="A159" s="68"/>
      <c r="B159" s="4" t="s">
        <v>11</v>
      </c>
      <c r="C159" s="5" t="s">
        <v>103</v>
      </c>
      <c r="D159" s="52" t="s">
        <v>99</v>
      </c>
      <c r="E159" s="40">
        <f t="shared" si="16"/>
        <v>6.938685659561379E-05</v>
      </c>
      <c r="F159" s="37">
        <f t="shared" si="17"/>
        <v>0.16666666666666669</v>
      </c>
      <c r="G159" s="37">
        <f t="shared" si="18"/>
        <v>0.16666666666666669</v>
      </c>
      <c r="H159" s="37">
        <f t="shared" si="19"/>
        <v>0.16659727981007108</v>
      </c>
      <c r="I159" s="37">
        <f t="shared" si="15"/>
        <v>0.16666666666666669</v>
      </c>
    </row>
    <row r="160" spans="1:9" ht="12" customHeight="1">
      <c r="A160" s="68"/>
      <c r="B160" s="4" t="s">
        <v>12</v>
      </c>
      <c r="C160" s="5" t="s">
        <v>103</v>
      </c>
      <c r="D160" s="52" t="s">
        <v>99</v>
      </c>
      <c r="E160" s="40">
        <f t="shared" si="16"/>
        <v>1.6665056466432703E-05</v>
      </c>
      <c r="F160" s="37">
        <f t="shared" si="17"/>
        <v>0.16666666666666669</v>
      </c>
      <c r="G160" s="37">
        <f t="shared" si="18"/>
        <v>0.16666666666666669</v>
      </c>
      <c r="H160" s="37">
        <f t="shared" si="19"/>
        <v>0.16665000161020024</v>
      </c>
      <c r="I160" s="37">
        <f t="shared" si="15"/>
        <v>0.16666666666666669</v>
      </c>
    </row>
    <row r="161" spans="1:9" ht="12" customHeight="1">
      <c r="A161" s="68"/>
      <c r="B161" s="4" t="s">
        <v>13</v>
      </c>
      <c r="C161" s="5" t="s">
        <v>103</v>
      </c>
      <c r="D161" s="52" t="s">
        <v>99</v>
      </c>
      <c r="E161" s="40">
        <f t="shared" si="16"/>
        <v>3.2921271632358082E-06</v>
      </c>
      <c r="F161" s="37">
        <f t="shared" si="17"/>
        <v>0.16666666666666663</v>
      </c>
      <c r="G161" s="37">
        <f t="shared" si="18"/>
        <v>0.16666666666666669</v>
      </c>
      <c r="H161" s="37">
        <f t="shared" si="19"/>
        <v>0.16666337453950344</v>
      </c>
      <c r="I161" s="37">
        <f t="shared" si="15"/>
        <v>0.16666666666666669</v>
      </c>
    </row>
    <row r="162" spans="1:9" ht="12" customHeight="1">
      <c r="A162" s="69"/>
      <c r="B162" s="4" t="s">
        <v>14</v>
      </c>
      <c r="C162" s="5" t="s">
        <v>103</v>
      </c>
      <c r="D162" s="52" t="s">
        <v>99</v>
      </c>
      <c r="E162" s="40">
        <f t="shared" si="16"/>
        <v>1.0416636756868996E-06</v>
      </c>
      <c r="F162" s="37">
        <f t="shared" si="17"/>
        <v>0.16666666666666663</v>
      </c>
      <c r="G162" s="37">
        <f t="shared" si="18"/>
        <v>0.1666666666666667</v>
      </c>
      <c r="H162" s="37">
        <f t="shared" si="19"/>
        <v>0.16666562500299104</v>
      </c>
      <c r="I162" s="37">
        <f t="shared" si="15"/>
        <v>0.1666666666666667</v>
      </c>
    </row>
    <row r="163" spans="1:9" ht="12" customHeight="1">
      <c r="A163" s="67" t="s">
        <v>133</v>
      </c>
      <c r="B163" s="4">
        <v>20</v>
      </c>
      <c r="C163" s="5" t="s">
        <v>103</v>
      </c>
      <c r="D163" s="52" t="s">
        <v>99</v>
      </c>
      <c r="E163" s="40">
        <f>(-1)*(F141^2*F97*F119^2+(1+F163*F119)^2*F97-(1+F163*F119)*F119)/(F141^2*F97^2*F119^2+((1+F163*F119)*F97-F119)^2)</f>
        <v>-0.002357963042443037</v>
      </c>
      <c r="F163" s="37">
        <f>((-1)*E97*E119^2-E$28^2*(E97-E119))/(E97^2*E119^2+E$28^2*(E97-E119)^2)+(E97^2*E119-F$28^2*(E97-E119))/(E97^2*E119^2+F$28^2*(E97-E119)^2)</f>
        <v>0</v>
      </c>
      <c r="G163" s="37">
        <f>((-1)*G97*G119^2-G$28^2*(G97-G119))/(G97^2*G119^2+G$28^2*(G97-G119)^2)+(G97^2*G119-H$28^2*(G97-G119))/(G97^2*G119^2+H$28^2*(G97-G119)^2)</f>
        <v>0</v>
      </c>
      <c r="H163" s="37">
        <f>(G141^2*F97^2*F119+(1-G163*F97)^2*F119-(1-G163*F97)*F97)/(G141^2*F97^2*F119^2+((1-G163*F97)*F119-F97)^2)</f>
        <v>0.0023579630424430376</v>
      </c>
      <c r="I163" s="37">
        <f t="shared" si="15"/>
        <v>0</v>
      </c>
    </row>
    <row r="164" spans="1:9" ht="12" customHeight="1">
      <c r="A164" s="68"/>
      <c r="B164" s="4">
        <v>30</v>
      </c>
      <c r="C164" s="5" t="s">
        <v>103</v>
      </c>
      <c r="D164" s="52" t="s">
        <v>99</v>
      </c>
      <c r="E164" s="40">
        <f aca="true" t="shared" si="20" ref="E164:E184">(-1)*(F142^2*F98*F120^2+(1+F164*F120)^2*F98-(1+F164*F120)*F120)/(F142^2*F98^2*F120^2+((1+F164*F120)*F98-F120)^2)</f>
        <v>-0.0035387100257018027</v>
      </c>
      <c r="F164" s="37">
        <f aca="true" t="shared" si="21" ref="F164:F184">((-1)*E98*E120^2-E$28^2*(E98-E120))/(E98^2*E120^2+E$28^2*(E98-E120)^2)+(E98^2*E120-F$28^2*(E98-E120))/(E98^2*E120^2+F$28^2*(E98-E120)^2)</f>
        <v>0</v>
      </c>
      <c r="G164" s="37">
        <f aca="true" t="shared" si="22" ref="G164:G184">((-1)*G98*G120^2-G$28^2*(G98-G120))/(G98^2*G120^2+G$28^2*(G98-G120)^2)+(G98^2*G120-H$28^2*(G98-G120))/(G98^2*G120^2+H$28^2*(G98-G120)^2)</f>
        <v>0</v>
      </c>
      <c r="H164" s="37">
        <f aca="true" t="shared" si="23" ref="H164:H184">(G142^2*F98^2*F120+(1-G164*F98)^2*F120-(1-G164*F98)*F98)/(G142^2*F98^2*F120^2+((1-G164*F98)*F120-F98)^2)</f>
        <v>0.003538710025701802</v>
      </c>
      <c r="I164" s="37">
        <f t="shared" si="15"/>
        <v>0</v>
      </c>
    </row>
    <row r="165" spans="1:9" ht="12" customHeight="1">
      <c r="A165" s="68"/>
      <c r="B165" s="4">
        <v>40</v>
      </c>
      <c r="C165" s="5" t="s">
        <v>103</v>
      </c>
      <c r="D165" s="52" t="s">
        <v>99</v>
      </c>
      <c r="E165" s="40">
        <f t="shared" si="20"/>
        <v>-0.00472157159216435</v>
      </c>
      <c r="F165" s="37">
        <f t="shared" si="21"/>
        <v>0</v>
      </c>
      <c r="G165" s="37">
        <f t="shared" si="22"/>
        <v>0</v>
      </c>
      <c r="H165" s="37">
        <f t="shared" si="23"/>
        <v>0.004721571592164345</v>
      </c>
      <c r="I165" s="37">
        <f t="shared" si="15"/>
        <v>0</v>
      </c>
    </row>
    <row r="166" spans="1:9" ht="12" customHeight="1">
      <c r="A166" s="68"/>
      <c r="B166" s="4">
        <v>50</v>
      </c>
      <c r="C166" s="5" t="s">
        <v>103</v>
      </c>
      <c r="D166" s="52" t="s">
        <v>99</v>
      </c>
      <c r="E166" s="40">
        <f t="shared" si="20"/>
        <v>-0.00590724596644132</v>
      </c>
      <c r="F166" s="37">
        <f t="shared" si="21"/>
        <v>0</v>
      </c>
      <c r="G166" s="37">
        <f t="shared" si="22"/>
        <v>0</v>
      </c>
      <c r="H166" s="37">
        <f t="shared" si="23"/>
        <v>0.005907245966441319</v>
      </c>
      <c r="I166" s="37">
        <f t="shared" si="15"/>
        <v>0</v>
      </c>
    </row>
    <row r="167" spans="1:9" ht="12" customHeight="1">
      <c r="A167" s="68"/>
      <c r="B167" s="4">
        <v>70</v>
      </c>
      <c r="C167" s="5" t="s">
        <v>103</v>
      </c>
      <c r="D167" s="52" t="s">
        <v>99</v>
      </c>
      <c r="E167" s="40">
        <f t="shared" si="20"/>
        <v>-0.00828979594362009</v>
      </c>
      <c r="F167" s="37">
        <f t="shared" si="21"/>
        <v>0</v>
      </c>
      <c r="G167" s="37">
        <f t="shared" si="22"/>
        <v>0</v>
      </c>
      <c r="H167" s="37">
        <f t="shared" si="23"/>
        <v>0.00828979594362008</v>
      </c>
      <c r="I167" s="37">
        <f t="shared" si="15"/>
        <v>0</v>
      </c>
    </row>
    <row r="168" spans="1:9" ht="12" customHeight="1">
      <c r="A168" s="68"/>
      <c r="B168" s="4">
        <v>100</v>
      </c>
      <c r="C168" s="5" t="s">
        <v>103</v>
      </c>
      <c r="D168" s="52" t="s">
        <v>99</v>
      </c>
      <c r="E168" s="40">
        <f t="shared" si="20"/>
        <v>-0.011901763724529654</v>
      </c>
      <c r="F168" s="37">
        <f t="shared" si="21"/>
        <v>0</v>
      </c>
      <c r="G168" s="37">
        <f t="shared" si="22"/>
        <v>0</v>
      </c>
      <c r="H168" s="37">
        <f t="shared" si="23"/>
        <v>0.011901763724529653</v>
      </c>
      <c r="I168" s="37">
        <f t="shared" si="15"/>
        <v>0</v>
      </c>
    </row>
    <row r="169" spans="1:9" ht="12" customHeight="1">
      <c r="A169" s="68"/>
      <c r="B169" s="4">
        <v>150</v>
      </c>
      <c r="C169" s="5" t="s">
        <v>103</v>
      </c>
      <c r="D169" s="52" t="s">
        <v>99</v>
      </c>
      <c r="E169" s="40">
        <f t="shared" si="20"/>
        <v>-0.018066255143739093</v>
      </c>
      <c r="F169" s="37">
        <f t="shared" si="21"/>
        <v>0</v>
      </c>
      <c r="G169" s="37">
        <f t="shared" si="22"/>
        <v>0</v>
      </c>
      <c r="H169" s="37">
        <f t="shared" si="23"/>
        <v>0.018066255143739083</v>
      </c>
      <c r="I169" s="37">
        <f t="shared" si="15"/>
        <v>0</v>
      </c>
    </row>
    <row r="170" spans="1:9" ht="12" customHeight="1">
      <c r="A170" s="68"/>
      <c r="B170" s="4">
        <v>200</v>
      </c>
      <c r="C170" s="5" t="s">
        <v>103</v>
      </c>
      <c r="D170" s="52" t="s">
        <v>99</v>
      </c>
      <c r="E170" s="40">
        <f t="shared" si="20"/>
        <v>-0.0244738547478525</v>
      </c>
      <c r="F170" s="37">
        <f t="shared" si="21"/>
        <v>0</v>
      </c>
      <c r="G170" s="37">
        <f t="shared" si="22"/>
        <v>0</v>
      </c>
      <c r="H170" s="37">
        <f t="shared" si="23"/>
        <v>0.024473854747852478</v>
      </c>
      <c r="I170" s="37">
        <f t="shared" si="15"/>
        <v>0</v>
      </c>
    </row>
    <row r="171" spans="1:9" ht="12" customHeight="1">
      <c r="A171" s="68"/>
      <c r="B171" s="4">
        <v>300</v>
      </c>
      <c r="C171" s="5" t="s">
        <v>103</v>
      </c>
      <c r="D171" s="52" t="s">
        <v>99</v>
      </c>
      <c r="E171" s="40">
        <f t="shared" si="20"/>
        <v>-0.03822763881992172</v>
      </c>
      <c r="F171" s="37">
        <f t="shared" si="21"/>
        <v>0</v>
      </c>
      <c r="G171" s="37">
        <f t="shared" si="22"/>
        <v>0</v>
      </c>
      <c r="H171" s="37">
        <f t="shared" si="23"/>
        <v>0.038227638819921694</v>
      </c>
      <c r="I171" s="37">
        <f t="shared" si="15"/>
        <v>0</v>
      </c>
    </row>
    <row r="172" spans="1:9" ht="12" customHeight="1">
      <c r="A172" s="68"/>
      <c r="B172" s="4">
        <v>400</v>
      </c>
      <c r="C172" s="5" t="s">
        <v>103</v>
      </c>
      <c r="D172" s="52" t="s">
        <v>99</v>
      </c>
      <c r="E172" s="40">
        <f t="shared" si="20"/>
        <v>-0.05331793105794734</v>
      </c>
      <c r="F172" s="37">
        <f t="shared" si="21"/>
        <v>0</v>
      </c>
      <c r="G172" s="37">
        <f t="shared" si="22"/>
        <v>0</v>
      </c>
      <c r="H172" s="37">
        <f t="shared" si="23"/>
        <v>0.0533179310579473</v>
      </c>
      <c r="I172" s="37">
        <f t="shared" si="15"/>
        <v>0</v>
      </c>
    </row>
    <row r="173" spans="1:9" ht="12" customHeight="1">
      <c r="A173" s="68"/>
      <c r="B173" s="4">
        <v>500</v>
      </c>
      <c r="C173" s="5" t="s">
        <v>103</v>
      </c>
      <c r="D173" s="52" t="s">
        <v>99</v>
      </c>
      <c r="E173" s="40">
        <f t="shared" si="20"/>
        <v>-0.06932412603387343</v>
      </c>
      <c r="F173" s="37">
        <f t="shared" si="21"/>
        <v>0</v>
      </c>
      <c r="G173" s="37">
        <f t="shared" si="22"/>
        <v>0</v>
      </c>
      <c r="H173" s="37">
        <f t="shared" si="23"/>
        <v>0.0693241260338734</v>
      </c>
      <c r="I173" s="37">
        <f t="shared" si="15"/>
        <v>0</v>
      </c>
    </row>
    <row r="174" spans="1:9" ht="12" customHeight="1">
      <c r="A174" s="68"/>
      <c r="B174" s="4">
        <v>700</v>
      </c>
      <c r="C174" s="5" t="s">
        <v>103</v>
      </c>
      <c r="D174" s="52" t="s">
        <v>99</v>
      </c>
      <c r="E174" s="40">
        <f t="shared" si="20"/>
        <v>-0.09911993959458701</v>
      </c>
      <c r="F174" s="37">
        <f t="shared" si="21"/>
        <v>0</v>
      </c>
      <c r="G174" s="37">
        <f t="shared" si="22"/>
        <v>0</v>
      </c>
      <c r="H174" s="37">
        <f t="shared" si="23"/>
        <v>0.099119939594587</v>
      </c>
      <c r="I174" s="37">
        <f t="shared" si="15"/>
        <v>0</v>
      </c>
    </row>
    <row r="175" spans="1:9" ht="12" customHeight="1">
      <c r="A175" s="68"/>
      <c r="B175" s="4" t="s">
        <v>5</v>
      </c>
      <c r="C175" s="5" t="s">
        <v>103</v>
      </c>
      <c r="D175" s="52" t="s">
        <v>99</v>
      </c>
      <c r="E175" s="40">
        <f t="shared" si="20"/>
        <v>-0.11785113019763178</v>
      </c>
      <c r="F175" s="37">
        <f t="shared" si="21"/>
        <v>0</v>
      </c>
      <c r="G175" s="37">
        <f t="shared" si="22"/>
        <v>0</v>
      </c>
      <c r="H175" s="37">
        <f t="shared" si="23"/>
        <v>0.11785113019763176</v>
      </c>
      <c r="I175" s="37">
        <f t="shared" si="15"/>
        <v>0</v>
      </c>
    </row>
    <row r="176" spans="1:9" ht="12" customHeight="1">
      <c r="A176" s="68"/>
      <c r="B176" s="4" t="s">
        <v>6</v>
      </c>
      <c r="C176" s="5" t="s">
        <v>103</v>
      </c>
      <c r="D176" s="52" t="s">
        <v>99</v>
      </c>
      <c r="E176" s="40">
        <f t="shared" si="20"/>
        <v>-0.09476696469165635</v>
      </c>
      <c r="F176" s="37">
        <f t="shared" si="21"/>
        <v>0</v>
      </c>
      <c r="G176" s="37">
        <f t="shared" si="22"/>
        <v>0</v>
      </c>
      <c r="H176" s="37">
        <f t="shared" si="23"/>
        <v>0.09476696469165631</v>
      </c>
      <c r="I176" s="37">
        <f t="shared" si="15"/>
        <v>0</v>
      </c>
    </row>
    <row r="177" spans="1:9" ht="12" customHeight="1">
      <c r="A177" s="68"/>
      <c r="B177" s="4" t="s">
        <v>7</v>
      </c>
      <c r="C177" s="5" t="s">
        <v>103</v>
      </c>
      <c r="D177" s="52" t="s">
        <v>99</v>
      </c>
      <c r="E177" s="40">
        <f t="shared" si="20"/>
        <v>-0.06932426243413202</v>
      </c>
      <c r="F177" s="37">
        <f t="shared" si="21"/>
        <v>0</v>
      </c>
      <c r="G177" s="37">
        <f t="shared" si="22"/>
        <v>0</v>
      </c>
      <c r="H177" s="37">
        <f t="shared" si="23"/>
        <v>0.06932426243413203</v>
      </c>
      <c r="I177" s="37">
        <f t="shared" si="15"/>
        <v>0</v>
      </c>
    </row>
    <row r="178" spans="1:9" ht="12" customHeight="1">
      <c r="A178" s="68"/>
      <c r="B178" s="4" t="s">
        <v>8</v>
      </c>
      <c r="C178" s="5" t="s">
        <v>103</v>
      </c>
      <c r="D178" s="52" t="s">
        <v>99</v>
      </c>
      <c r="E178" s="40">
        <f t="shared" si="20"/>
        <v>-0.04311630907154073</v>
      </c>
      <c r="F178" s="37">
        <f t="shared" si="21"/>
        <v>0</v>
      </c>
      <c r="G178" s="37">
        <f t="shared" si="22"/>
        <v>0</v>
      </c>
      <c r="H178" s="37">
        <f t="shared" si="23"/>
        <v>0.04311630907154072</v>
      </c>
      <c r="I178" s="37">
        <f t="shared" si="15"/>
        <v>0</v>
      </c>
    </row>
    <row r="179" spans="1:9" ht="12" customHeight="1">
      <c r="A179" s="68"/>
      <c r="B179" s="4" t="s">
        <v>9</v>
      </c>
      <c r="C179" s="5" t="s">
        <v>103</v>
      </c>
      <c r="D179" s="52" t="s">
        <v>99</v>
      </c>
      <c r="E179" s="40">
        <f t="shared" si="20"/>
        <v>-0.03118242923536559</v>
      </c>
      <c r="F179" s="37">
        <f t="shared" si="21"/>
        <v>0</v>
      </c>
      <c r="G179" s="37">
        <f t="shared" si="22"/>
        <v>0</v>
      </c>
      <c r="H179" s="37">
        <f t="shared" si="23"/>
        <v>0.031182429235365614</v>
      </c>
      <c r="I179" s="37">
        <f t="shared" si="15"/>
        <v>0</v>
      </c>
    </row>
    <row r="180" spans="1:9" ht="12" customHeight="1">
      <c r="A180" s="68"/>
      <c r="B180" s="4" t="s">
        <v>10</v>
      </c>
      <c r="C180" s="5" t="s">
        <v>103</v>
      </c>
      <c r="D180" s="52" t="s">
        <v>99</v>
      </c>
      <c r="E180" s="40">
        <f t="shared" si="20"/>
        <v>-0.02447389900842695</v>
      </c>
      <c r="F180" s="37">
        <f t="shared" si="21"/>
        <v>0</v>
      </c>
      <c r="G180" s="37">
        <f t="shared" si="22"/>
        <v>0</v>
      </c>
      <c r="H180" s="37">
        <f t="shared" si="23"/>
        <v>0.024473899008426944</v>
      </c>
      <c r="I180" s="37">
        <f t="shared" si="15"/>
        <v>0</v>
      </c>
    </row>
    <row r="181" spans="1:9" ht="12" customHeight="1">
      <c r="A181" s="68"/>
      <c r="B181" s="4" t="s">
        <v>11</v>
      </c>
      <c r="C181" s="5" t="s">
        <v>103</v>
      </c>
      <c r="D181" s="52" t="s">
        <v>99</v>
      </c>
      <c r="E181" s="40">
        <f t="shared" si="20"/>
        <v>-0.01717232795397973</v>
      </c>
      <c r="F181" s="37">
        <f t="shared" si="21"/>
        <v>0</v>
      </c>
      <c r="G181" s="37">
        <f t="shared" si="22"/>
        <v>0</v>
      </c>
      <c r="H181" s="37">
        <f t="shared" si="23"/>
        <v>0.01717232795397974</v>
      </c>
      <c r="I181" s="37">
        <f t="shared" si="15"/>
        <v>0</v>
      </c>
    </row>
    <row r="182" spans="1:9" ht="12" customHeight="1">
      <c r="A182" s="68"/>
      <c r="B182" s="4" t="s">
        <v>12</v>
      </c>
      <c r="C182" s="5" t="s">
        <v>103</v>
      </c>
      <c r="D182" s="52" t="s">
        <v>99</v>
      </c>
      <c r="E182" s="40">
        <f t="shared" si="20"/>
        <v>-0.011901784220632072</v>
      </c>
      <c r="F182" s="37">
        <f t="shared" si="21"/>
        <v>0</v>
      </c>
      <c r="G182" s="37">
        <f t="shared" si="22"/>
        <v>0</v>
      </c>
      <c r="H182" s="37">
        <f t="shared" si="23"/>
        <v>0.011901784220632077</v>
      </c>
      <c r="I182" s="37">
        <f t="shared" si="15"/>
        <v>0</v>
      </c>
    </row>
    <row r="183" spans="1:9" ht="12" customHeight="1">
      <c r="A183" s="68"/>
      <c r="B183" s="4" t="s">
        <v>13</v>
      </c>
      <c r="C183" s="5" t="s">
        <v>103</v>
      </c>
      <c r="D183" s="52" t="s">
        <v>99</v>
      </c>
      <c r="E183" s="40">
        <f t="shared" si="20"/>
        <v>-0.007891511709132253</v>
      </c>
      <c r="F183" s="37">
        <f t="shared" si="21"/>
        <v>0</v>
      </c>
      <c r="G183" s="37">
        <f t="shared" si="22"/>
        <v>0</v>
      </c>
      <c r="H183" s="37">
        <f t="shared" si="23"/>
        <v>0.00789151170913226</v>
      </c>
      <c r="I183" s="37">
        <f t="shared" si="15"/>
        <v>0</v>
      </c>
    </row>
    <row r="184" spans="1:9" ht="12" customHeight="1">
      <c r="A184" s="69"/>
      <c r="B184" s="4" t="s">
        <v>14</v>
      </c>
      <c r="C184" s="5" t="s">
        <v>103</v>
      </c>
      <c r="D184" s="52" t="s">
        <v>99</v>
      </c>
      <c r="E184" s="40">
        <f t="shared" si="20"/>
        <v>-0.005907255995250949</v>
      </c>
      <c r="F184" s="37">
        <f t="shared" si="21"/>
        <v>0</v>
      </c>
      <c r="G184" s="37">
        <f t="shared" si="22"/>
        <v>0</v>
      </c>
      <c r="H184" s="37">
        <f t="shared" si="23"/>
        <v>0.00590725599525096</v>
      </c>
      <c r="I184" s="37">
        <f t="shared" si="15"/>
        <v>1.1275702593849246E-17</v>
      </c>
    </row>
    <row r="185" spans="1:9" ht="12" customHeight="1">
      <c r="A185" s="67" t="s">
        <v>95</v>
      </c>
      <c r="B185" s="4">
        <v>20</v>
      </c>
      <c r="C185" s="5" t="s">
        <v>103</v>
      </c>
      <c r="D185" s="2" t="s">
        <v>98</v>
      </c>
      <c r="E185" s="7">
        <f>IF($I$17=1,SpeakerCorrection1!E56,0)+IF($I$17=2,SpeakerCorrection2!E56,0)+IF($I$17=3,SpeakerCorrection3!E56,0)+IF($I$17=4,SpeakerCorrection4!E56,0)</f>
        <v>0</v>
      </c>
      <c r="F185" s="7">
        <f>IF($I$17=1,SpeakerCorrection1!F56,0)+IF($I$17=2,SpeakerCorrection2!F56,0)+IF($I$17=3,SpeakerCorrection3!F56,0)+IF($I$17=4,SpeakerCorrection4!F56,0)</f>
        <v>0</v>
      </c>
      <c r="G185" s="7">
        <f>IF($I$17=1,SpeakerCorrection1!G56,0)+IF($I$17=2,SpeakerCorrection2!G56,0)+IF($I$17=3,SpeakerCorrection3!G56,0)+IF($I$17=4,SpeakerCorrection4!G56,0)</f>
        <v>0</v>
      </c>
      <c r="H185" s="7">
        <f>IF($I$17=1,SpeakerCorrection1!H56,0)+IF($I$17=2,SpeakerCorrection2!H56,0)+IF($I$17=3,SpeakerCorrection3!H56,0)+IF($I$17=4,SpeakerCorrection4!H56,0)</f>
        <v>0</v>
      </c>
      <c r="I185" s="47"/>
    </row>
    <row r="186" spans="1:9" ht="12" customHeight="1">
      <c r="A186" s="68"/>
      <c r="B186" s="4">
        <v>30</v>
      </c>
      <c r="C186" s="5" t="s">
        <v>103</v>
      </c>
      <c r="D186" s="2" t="s">
        <v>98</v>
      </c>
      <c r="E186" s="7">
        <f>IF($I$17=1,SpeakerCorrection1!E57,0)+IF($I$17=2,SpeakerCorrection2!E57,0)+IF($I$17=3,SpeakerCorrection3!E57,0)+IF($I$17=4,SpeakerCorrection4!E57,0)</f>
        <v>0</v>
      </c>
      <c r="F186" s="7">
        <f>IF($I$17=1,SpeakerCorrection1!F57,0)+IF($I$17=2,SpeakerCorrection2!F57,0)+IF($I$17=3,SpeakerCorrection3!F57,0)+IF($I$17=4,SpeakerCorrection4!F57,0)</f>
        <v>0</v>
      </c>
      <c r="G186" s="7">
        <f>IF($I$17=1,SpeakerCorrection1!G57,0)+IF($I$17=2,SpeakerCorrection2!G57,0)+IF($I$17=3,SpeakerCorrection3!G57,0)+IF($I$17=4,SpeakerCorrection4!G57,0)</f>
        <v>0</v>
      </c>
      <c r="H186" s="7">
        <f>IF($I$17=1,SpeakerCorrection1!H57,0)+IF($I$17=2,SpeakerCorrection2!H57,0)+IF($I$17=3,SpeakerCorrection3!H57,0)+IF($I$17=4,SpeakerCorrection4!H57,0)</f>
        <v>0</v>
      </c>
      <c r="I186" s="47"/>
    </row>
    <row r="187" spans="1:9" ht="12" customHeight="1">
      <c r="A187" s="68"/>
      <c r="B187" s="4">
        <v>40</v>
      </c>
      <c r="C187" s="5" t="s">
        <v>103</v>
      </c>
      <c r="D187" s="2" t="s">
        <v>98</v>
      </c>
      <c r="E187" s="7">
        <f>IF($I$17=1,SpeakerCorrection1!E58,0)+IF($I$17=2,SpeakerCorrection2!E58,0)+IF($I$17=3,SpeakerCorrection3!E58,0)+IF($I$17=4,SpeakerCorrection4!E58,0)</f>
        <v>0</v>
      </c>
      <c r="F187" s="7">
        <f>IF($I$17=1,SpeakerCorrection1!F58,0)+IF($I$17=2,SpeakerCorrection2!F58,0)+IF($I$17=3,SpeakerCorrection3!F58,0)+IF($I$17=4,SpeakerCorrection4!F58,0)</f>
        <v>0</v>
      </c>
      <c r="G187" s="7">
        <f>IF($I$17=1,SpeakerCorrection1!G58,0)+IF($I$17=2,SpeakerCorrection2!G58,0)+IF($I$17=3,SpeakerCorrection3!G58,0)+IF($I$17=4,SpeakerCorrection4!G58,0)</f>
        <v>0</v>
      </c>
      <c r="H187" s="7">
        <f>IF($I$17=1,SpeakerCorrection1!H58,0)+IF($I$17=2,SpeakerCorrection2!H58,0)+IF($I$17=3,SpeakerCorrection3!H58,0)+IF($I$17=4,SpeakerCorrection4!H58,0)</f>
        <v>0</v>
      </c>
      <c r="I187" s="47"/>
    </row>
    <row r="188" spans="1:9" ht="12" customHeight="1">
      <c r="A188" s="68"/>
      <c r="B188" s="4">
        <v>50</v>
      </c>
      <c r="C188" s="5" t="s">
        <v>103</v>
      </c>
      <c r="D188" s="2" t="s">
        <v>98</v>
      </c>
      <c r="E188" s="7">
        <f>IF($I$17=1,SpeakerCorrection1!E59,0)+IF($I$17=2,SpeakerCorrection2!E59,0)+IF($I$17=3,SpeakerCorrection3!E59,0)+IF($I$17=4,SpeakerCorrection4!E59,0)</f>
        <v>0</v>
      </c>
      <c r="F188" s="7">
        <f>IF($I$17=1,SpeakerCorrection1!F59,0)+IF($I$17=2,SpeakerCorrection2!F59,0)+IF($I$17=3,SpeakerCorrection3!F59,0)+IF($I$17=4,SpeakerCorrection4!F59,0)</f>
        <v>0</v>
      </c>
      <c r="G188" s="7">
        <f>IF($I$17=1,SpeakerCorrection1!G59,0)+IF($I$17=2,SpeakerCorrection2!G59,0)+IF($I$17=3,SpeakerCorrection3!G59,0)+IF($I$17=4,SpeakerCorrection4!G59,0)</f>
        <v>0</v>
      </c>
      <c r="H188" s="7">
        <f>IF($I$17=1,SpeakerCorrection1!H59,0)+IF($I$17=2,SpeakerCorrection2!H59,0)+IF($I$17=3,SpeakerCorrection3!H59,0)+IF($I$17=4,SpeakerCorrection4!H59,0)</f>
        <v>0</v>
      </c>
      <c r="I188" s="47"/>
    </row>
    <row r="189" spans="1:9" ht="12" customHeight="1">
      <c r="A189" s="68"/>
      <c r="B189" s="4">
        <v>70</v>
      </c>
      <c r="C189" s="5" t="s">
        <v>103</v>
      </c>
      <c r="D189" s="2" t="s">
        <v>98</v>
      </c>
      <c r="E189" s="7">
        <f>IF($I$17=1,SpeakerCorrection1!E60,0)+IF($I$17=2,SpeakerCorrection2!E60,0)+IF($I$17=3,SpeakerCorrection3!E60,0)+IF($I$17=4,SpeakerCorrection4!E60,0)</f>
        <v>0</v>
      </c>
      <c r="F189" s="7">
        <f>IF($I$17=1,SpeakerCorrection1!F60,0)+IF($I$17=2,SpeakerCorrection2!F60,0)+IF($I$17=3,SpeakerCorrection3!F60,0)+IF($I$17=4,SpeakerCorrection4!F60,0)</f>
        <v>0</v>
      </c>
      <c r="G189" s="7">
        <f>IF($I$17=1,SpeakerCorrection1!G60,0)+IF($I$17=2,SpeakerCorrection2!G60,0)+IF($I$17=3,SpeakerCorrection3!G60,0)+IF($I$17=4,SpeakerCorrection4!G60,0)</f>
        <v>0</v>
      </c>
      <c r="H189" s="7">
        <f>IF($I$17=1,SpeakerCorrection1!H60,0)+IF($I$17=2,SpeakerCorrection2!H60,0)+IF($I$17=3,SpeakerCorrection3!H60,0)+IF($I$17=4,SpeakerCorrection4!H60,0)</f>
        <v>0</v>
      </c>
      <c r="I189" s="47"/>
    </row>
    <row r="190" spans="1:9" ht="12" customHeight="1">
      <c r="A190" s="68"/>
      <c r="B190" s="4">
        <v>100</v>
      </c>
      <c r="C190" s="5" t="s">
        <v>103</v>
      </c>
      <c r="D190" s="2" t="s">
        <v>98</v>
      </c>
      <c r="E190" s="7">
        <f>IF($I$17=1,SpeakerCorrection1!E61,0)+IF($I$17=2,SpeakerCorrection2!E61,0)+IF($I$17=3,SpeakerCorrection3!E61,0)+IF($I$17=4,SpeakerCorrection4!E61,0)</f>
        <v>0</v>
      </c>
      <c r="F190" s="7">
        <f>IF($I$17=1,SpeakerCorrection1!F61,0)+IF($I$17=2,SpeakerCorrection2!F61,0)+IF($I$17=3,SpeakerCorrection3!F61,0)+IF($I$17=4,SpeakerCorrection4!F61,0)</f>
        <v>0</v>
      </c>
      <c r="G190" s="7">
        <f>IF($I$17=1,SpeakerCorrection1!G61,0)+IF($I$17=2,SpeakerCorrection2!G61,0)+IF($I$17=3,SpeakerCorrection3!G61,0)+IF($I$17=4,SpeakerCorrection4!G61,0)</f>
        <v>0</v>
      </c>
      <c r="H190" s="7">
        <f>IF($I$17=1,SpeakerCorrection1!H61,0)+IF($I$17=2,SpeakerCorrection2!H61,0)+IF($I$17=3,SpeakerCorrection3!H61,0)+IF($I$17=4,SpeakerCorrection4!H61,0)</f>
        <v>0</v>
      </c>
      <c r="I190" s="47"/>
    </row>
    <row r="191" spans="1:9" ht="12" customHeight="1">
      <c r="A191" s="68"/>
      <c r="B191" s="4">
        <v>150</v>
      </c>
      <c r="C191" s="5" t="s">
        <v>103</v>
      </c>
      <c r="D191" s="2" t="s">
        <v>98</v>
      </c>
      <c r="E191" s="7">
        <f>IF($I$17=1,SpeakerCorrection1!E62,0)+IF($I$17=2,SpeakerCorrection2!E62,0)+IF($I$17=3,SpeakerCorrection3!E62,0)+IF($I$17=4,SpeakerCorrection4!E62,0)</f>
        <v>0</v>
      </c>
      <c r="F191" s="7">
        <f>IF($I$17=1,SpeakerCorrection1!F62,0)+IF($I$17=2,SpeakerCorrection2!F62,0)+IF($I$17=3,SpeakerCorrection3!F62,0)+IF($I$17=4,SpeakerCorrection4!F62,0)</f>
        <v>0</v>
      </c>
      <c r="G191" s="7">
        <f>IF($I$17=1,SpeakerCorrection1!G62,0)+IF($I$17=2,SpeakerCorrection2!G62,0)+IF($I$17=3,SpeakerCorrection3!G62,0)+IF($I$17=4,SpeakerCorrection4!G62,0)</f>
        <v>0</v>
      </c>
      <c r="H191" s="7">
        <f>IF($I$17=1,SpeakerCorrection1!H62,0)+IF($I$17=2,SpeakerCorrection2!H62,0)+IF($I$17=3,SpeakerCorrection3!H62,0)+IF($I$17=4,SpeakerCorrection4!H62,0)</f>
        <v>0</v>
      </c>
      <c r="I191" s="47"/>
    </row>
    <row r="192" spans="1:9" ht="12" customHeight="1">
      <c r="A192" s="68"/>
      <c r="B192" s="4">
        <v>200</v>
      </c>
      <c r="C192" s="5" t="s">
        <v>103</v>
      </c>
      <c r="D192" s="2" t="s">
        <v>98</v>
      </c>
      <c r="E192" s="7">
        <f>IF($I$17=1,SpeakerCorrection1!E63,0)+IF($I$17=2,SpeakerCorrection2!E63,0)+IF($I$17=3,SpeakerCorrection3!E63,0)+IF($I$17=4,SpeakerCorrection4!E63,0)</f>
        <v>0</v>
      </c>
      <c r="F192" s="7">
        <f>IF($I$17=1,SpeakerCorrection1!F63,0)+IF($I$17=2,SpeakerCorrection2!F63,0)+IF($I$17=3,SpeakerCorrection3!F63,0)+IF($I$17=4,SpeakerCorrection4!F63,0)</f>
        <v>0</v>
      </c>
      <c r="G192" s="7">
        <f>IF($I$17=1,SpeakerCorrection1!G63,0)+IF($I$17=2,SpeakerCorrection2!G63,0)+IF($I$17=3,SpeakerCorrection3!G63,0)+IF($I$17=4,SpeakerCorrection4!G63,0)</f>
        <v>0</v>
      </c>
      <c r="H192" s="7">
        <f>IF($I$17=1,SpeakerCorrection1!H63,0)+IF($I$17=2,SpeakerCorrection2!H63,0)+IF($I$17=3,SpeakerCorrection3!H63,0)+IF($I$17=4,SpeakerCorrection4!H63,0)</f>
        <v>0</v>
      </c>
      <c r="I192" s="47"/>
    </row>
    <row r="193" spans="1:9" ht="12" customHeight="1">
      <c r="A193" s="68"/>
      <c r="B193" s="4">
        <v>300</v>
      </c>
      <c r="C193" s="5" t="s">
        <v>103</v>
      </c>
      <c r="D193" s="2" t="s">
        <v>98</v>
      </c>
      <c r="E193" s="7">
        <f>IF($I$17=1,SpeakerCorrection1!E64,0)+IF($I$17=2,SpeakerCorrection2!E64,0)+IF($I$17=3,SpeakerCorrection3!E64,0)+IF($I$17=4,SpeakerCorrection4!E64,0)</f>
        <v>0</v>
      </c>
      <c r="F193" s="7">
        <f>IF($I$17=1,SpeakerCorrection1!F64,0)+IF($I$17=2,SpeakerCorrection2!F64,0)+IF($I$17=3,SpeakerCorrection3!F64,0)+IF($I$17=4,SpeakerCorrection4!F64,0)</f>
        <v>0</v>
      </c>
      <c r="G193" s="7">
        <f>IF($I$17=1,SpeakerCorrection1!G64,0)+IF($I$17=2,SpeakerCorrection2!G64,0)+IF($I$17=3,SpeakerCorrection3!G64,0)+IF($I$17=4,SpeakerCorrection4!G64,0)</f>
        <v>0</v>
      </c>
      <c r="H193" s="7">
        <f>IF($I$17=1,SpeakerCorrection1!H64,0)+IF($I$17=2,SpeakerCorrection2!H64,0)+IF($I$17=3,SpeakerCorrection3!H64,0)+IF($I$17=4,SpeakerCorrection4!H64,0)</f>
        <v>0</v>
      </c>
      <c r="I193" s="47"/>
    </row>
    <row r="194" spans="1:9" ht="12" customHeight="1">
      <c r="A194" s="68"/>
      <c r="B194" s="4">
        <v>400</v>
      </c>
      <c r="C194" s="5" t="s">
        <v>103</v>
      </c>
      <c r="D194" s="2" t="s">
        <v>98</v>
      </c>
      <c r="E194" s="7">
        <f>IF($I$17=1,SpeakerCorrection1!E65,0)+IF($I$17=2,SpeakerCorrection2!E65,0)+IF($I$17=3,SpeakerCorrection3!E65,0)+IF($I$17=4,SpeakerCorrection4!E65,0)</f>
        <v>0</v>
      </c>
      <c r="F194" s="7">
        <f>IF($I$17=1,SpeakerCorrection1!F65,0)+IF($I$17=2,SpeakerCorrection2!F65,0)+IF($I$17=3,SpeakerCorrection3!F65,0)+IF($I$17=4,SpeakerCorrection4!F65,0)</f>
        <v>0</v>
      </c>
      <c r="G194" s="7">
        <f>IF($I$17=1,SpeakerCorrection1!G65,0)+IF($I$17=2,SpeakerCorrection2!G65,0)+IF($I$17=3,SpeakerCorrection3!G65,0)+IF($I$17=4,SpeakerCorrection4!G65,0)</f>
        <v>0</v>
      </c>
      <c r="H194" s="7">
        <f>IF($I$17=1,SpeakerCorrection1!H65,0)+IF($I$17=2,SpeakerCorrection2!H65,0)+IF($I$17=3,SpeakerCorrection3!H65,0)+IF($I$17=4,SpeakerCorrection4!H65,0)</f>
        <v>0</v>
      </c>
      <c r="I194" s="47"/>
    </row>
    <row r="195" spans="1:9" ht="12" customHeight="1">
      <c r="A195" s="68"/>
      <c r="B195" s="4">
        <v>500</v>
      </c>
      <c r="C195" s="5" t="s">
        <v>103</v>
      </c>
      <c r="D195" s="2" t="s">
        <v>98</v>
      </c>
      <c r="E195" s="7">
        <f>IF($I$17=1,SpeakerCorrection1!E66,0)+IF($I$17=2,SpeakerCorrection2!E66,0)+IF($I$17=3,SpeakerCorrection3!E66,0)+IF($I$17=4,SpeakerCorrection4!E66,0)</f>
        <v>0</v>
      </c>
      <c r="F195" s="7">
        <f>IF($I$17=1,SpeakerCorrection1!F66,0)+IF($I$17=2,SpeakerCorrection2!F66,0)+IF($I$17=3,SpeakerCorrection3!F66,0)+IF($I$17=4,SpeakerCorrection4!F66,0)</f>
        <v>0</v>
      </c>
      <c r="G195" s="7">
        <f>IF($I$17=1,SpeakerCorrection1!G66,0)+IF($I$17=2,SpeakerCorrection2!G66,0)+IF($I$17=3,SpeakerCorrection3!G66,0)+IF($I$17=4,SpeakerCorrection4!G66,0)</f>
        <v>0</v>
      </c>
      <c r="H195" s="7">
        <f>IF($I$17=1,SpeakerCorrection1!H66,0)+IF($I$17=2,SpeakerCorrection2!H66,0)+IF($I$17=3,SpeakerCorrection3!H66,0)+IF($I$17=4,SpeakerCorrection4!H66,0)</f>
        <v>0</v>
      </c>
      <c r="I195" s="47"/>
    </row>
    <row r="196" spans="1:9" ht="12" customHeight="1">
      <c r="A196" s="68"/>
      <c r="B196" s="4">
        <v>700</v>
      </c>
      <c r="C196" s="5" t="s">
        <v>103</v>
      </c>
      <c r="D196" s="2" t="s">
        <v>98</v>
      </c>
      <c r="E196" s="7">
        <f>IF($I$17=1,SpeakerCorrection1!E67,0)+IF($I$17=2,SpeakerCorrection2!E67,0)+IF($I$17=3,SpeakerCorrection3!E67,0)+IF($I$17=4,SpeakerCorrection4!E67,0)</f>
        <v>0</v>
      </c>
      <c r="F196" s="7">
        <f>IF($I$17=1,SpeakerCorrection1!F67,0)+IF($I$17=2,SpeakerCorrection2!F67,0)+IF($I$17=3,SpeakerCorrection3!F67,0)+IF($I$17=4,SpeakerCorrection4!F67,0)</f>
        <v>0</v>
      </c>
      <c r="G196" s="7">
        <f>IF($I$17=1,SpeakerCorrection1!G67,0)+IF($I$17=2,SpeakerCorrection2!G67,0)+IF($I$17=3,SpeakerCorrection3!G67,0)+IF($I$17=4,SpeakerCorrection4!G67,0)</f>
        <v>0</v>
      </c>
      <c r="H196" s="7">
        <f>IF($I$17=1,SpeakerCorrection1!H67,0)+IF($I$17=2,SpeakerCorrection2!H67,0)+IF($I$17=3,SpeakerCorrection3!H67,0)+IF($I$17=4,SpeakerCorrection4!H67,0)</f>
        <v>0</v>
      </c>
      <c r="I196" s="47"/>
    </row>
    <row r="197" spans="1:9" ht="12" customHeight="1">
      <c r="A197" s="68"/>
      <c r="B197" s="4" t="s">
        <v>25</v>
      </c>
      <c r="C197" s="5" t="s">
        <v>103</v>
      </c>
      <c r="D197" s="2" t="s">
        <v>98</v>
      </c>
      <c r="E197" s="7">
        <f>IF($I$17=1,SpeakerCorrection1!E68,0)+IF($I$17=2,SpeakerCorrection2!E68,0)+IF($I$17=3,SpeakerCorrection3!E68,0)+IF($I$17=4,SpeakerCorrection4!E68,0)</f>
        <v>0</v>
      </c>
      <c r="F197" s="7">
        <f>IF($I$17=1,SpeakerCorrection1!F68,0)+IF($I$17=2,SpeakerCorrection2!F68,0)+IF($I$17=3,SpeakerCorrection3!F68,0)+IF($I$17=4,SpeakerCorrection4!F68,0)</f>
        <v>0</v>
      </c>
      <c r="G197" s="7">
        <f>IF($I$17=1,SpeakerCorrection1!G68,0)+IF($I$17=2,SpeakerCorrection2!G68,0)+IF($I$17=3,SpeakerCorrection3!G68,0)+IF($I$17=4,SpeakerCorrection4!G68,0)</f>
        <v>0</v>
      </c>
      <c r="H197" s="7">
        <f>IF($I$17=1,SpeakerCorrection1!H68,0)+IF($I$17=2,SpeakerCorrection2!H68,0)+IF($I$17=3,SpeakerCorrection3!H68,0)+IF($I$17=4,SpeakerCorrection4!H68,0)</f>
        <v>0</v>
      </c>
      <c r="I197" s="47"/>
    </row>
    <row r="198" spans="1:9" ht="12" customHeight="1">
      <c r="A198" s="68"/>
      <c r="B198" s="4" t="s">
        <v>26</v>
      </c>
      <c r="C198" s="5" t="s">
        <v>103</v>
      </c>
      <c r="D198" s="2" t="s">
        <v>98</v>
      </c>
      <c r="E198" s="7">
        <f>IF($I$17=1,SpeakerCorrection1!E69,0)+IF($I$17=2,SpeakerCorrection2!E69,0)+IF($I$17=3,SpeakerCorrection3!E69,0)+IF($I$17=4,SpeakerCorrection4!E69,0)</f>
        <v>0</v>
      </c>
      <c r="F198" s="7">
        <f>IF($I$17=1,SpeakerCorrection1!F69,0)+IF($I$17=2,SpeakerCorrection2!F69,0)+IF($I$17=3,SpeakerCorrection3!F69,0)+IF($I$17=4,SpeakerCorrection4!F69,0)</f>
        <v>0</v>
      </c>
      <c r="G198" s="7">
        <f>IF($I$17=1,SpeakerCorrection1!G69,0)+IF($I$17=2,SpeakerCorrection2!G69,0)+IF($I$17=3,SpeakerCorrection3!G69,0)+IF($I$17=4,SpeakerCorrection4!G69,0)</f>
        <v>0</v>
      </c>
      <c r="H198" s="7">
        <f>IF($I$17=1,SpeakerCorrection1!H69,0)+IF($I$17=2,SpeakerCorrection2!H69,0)+IF($I$17=3,SpeakerCorrection3!H69,0)+IF($I$17=4,SpeakerCorrection4!H69,0)</f>
        <v>0</v>
      </c>
      <c r="I198" s="47"/>
    </row>
    <row r="199" spans="1:9" ht="12" customHeight="1">
      <c r="A199" s="68"/>
      <c r="B199" s="4" t="s">
        <v>27</v>
      </c>
      <c r="C199" s="5" t="s">
        <v>103</v>
      </c>
      <c r="D199" s="2" t="s">
        <v>98</v>
      </c>
      <c r="E199" s="7">
        <f>IF($I$17=1,SpeakerCorrection1!E70,0)+IF($I$17=2,SpeakerCorrection2!E70,0)+IF($I$17=3,SpeakerCorrection3!E70,0)+IF($I$17=4,SpeakerCorrection4!E70,0)</f>
        <v>0</v>
      </c>
      <c r="F199" s="7">
        <f>IF($I$17=1,SpeakerCorrection1!F70,0)+IF($I$17=2,SpeakerCorrection2!F70,0)+IF($I$17=3,SpeakerCorrection3!F70,0)+IF($I$17=4,SpeakerCorrection4!F70,0)</f>
        <v>0</v>
      </c>
      <c r="G199" s="7">
        <f>IF($I$17=1,SpeakerCorrection1!G70,0)+IF($I$17=2,SpeakerCorrection2!G70,0)+IF($I$17=3,SpeakerCorrection3!G70,0)+IF($I$17=4,SpeakerCorrection4!G70,0)</f>
        <v>0</v>
      </c>
      <c r="H199" s="7">
        <f>IF($I$17=1,SpeakerCorrection1!H70,0)+IF($I$17=2,SpeakerCorrection2!H70,0)+IF($I$17=3,SpeakerCorrection3!H70,0)+IF($I$17=4,SpeakerCorrection4!H70,0)</f>
        <v>0</v>
      </c>
      <c r="I199" s="47"/>
    </row>
    <row r="200" spans="1:9" ht="12" customHeight="1">
      <c r="A200" s="68"/>
      <c r="B200" s="4" t="s">
        <v>28</v>
      </c>
      <c r="C200" s="5" t="s">
        <v>103</v>
      </c>
      <c r="D200" s="2" t="s">
        <v>98</v>
      </c>
      <c r="E200" s="7">
        <f>IF($I$17=1,SpeakerCorrection1!E71,0)+IF($I$17=2,SpeakerCorrection2!E71,0)+IF($I$17=3,SpeakerCorrection3!E71,0)+IF($I$17=4,SpeakerCorrection4!E71,0)</f>
        <v>0</v>
      </c>
      <c r="F200" s="7">
        <f>IF($I$17=1,SpeakerCorrection1!F71,0)+IF($I$17=2,SpeakerCorrection2!F71,0)+IF($I$17=3,SpeakerCorrection3!F71,0)+IF($I$17=4,SpeakerCorrection4!F71,0)</f>
        <v>0</v>
      </c>
      <c r="G200" s="7">
        <f>IF($I$17=1,SpeakerCorrection1!G71,0)+IF($I$17=2,SpeakerCorrection2!G71,0)+IF($I$17=3,SpeakerCorrection3!G71,0)+IF($I$17=4,SpeakerCorrection4!G71,0)</f>
        <v>0</v>
      </c>
      <c r="H200" s="7">
        <f>IF($I$17=1,SpeakerCorrection1!H71,0)+IF($I$17=2,SpeakerCorrection2!H71,0)+IF($I$17=3,SpeakerCorrection3!H71,0)+IF($I$17=4,SpeakerCorrection4!H71,0)</f>
        <v>0</v>
      </c>
      <c r="I200" s="47"/>
    </row>
    <row r="201" spans="1:9" ht="12" customHeight="1">
      <c r="A201" s="68"/>
      <c r="B201" s="4" t="s">
        <v>29</v>
      </c>
      <c r="C201" s="5" t="s">
        <v>103</v>
      </c>
      <c r="D201" s="2" t="s">
        <v>98</v>
      </c>
      <c r="E201" s="7">
        <f>IF($I$17=1,SpeakerCorrection1!E72,0)+IF($I$17=2,SpeakerCorrection2!E72,0)+IF($I$17=3,SpeakerCorrection3!E72,0)+IF($I$17=4,SpeakerCorrection4!E72,0)</f>
        <v>0</v>
      </c>
      <c r="F201" s="7">
        <f>IF($I$17=1,SpeakerCorrection1!F72,0)+IF($I$17=2,SpeakerCorrection2!F72,0)+IF($I$17=3,SpeakerCorrection3!F72,0)+IF($I$17=4,SpeakerCorrection4!F72,0)</f>
        <v>0</v>
      </c>
      <c r="G201" s="7">
        <f>IF($I$17=1,SpeakerCorrection1!G72,0)+IF($I$17=2,SpeakerCorrection2!G72,0)+IF($I$17=3,SpeakerCorrection3!G72,0)+IF($I$17=4,SpeakerCorrection4!G72,0)</f>
        <v>0</v>
      </c>
      <c r="H201" s="7">
        <f>IF($I$17=1,SpeakerCorrection1!H72,0)+IF($I$17=2,SpeakerCorrection2!H72,0)+IF($I$17=3,SpeakerCorrection3!H72,0)+IF($I$17=4,SpeakerCorrection4!H72,0)</f>
        <v>0</v>
      </c>
      <c r="I201" s="47"/>
    </row>
    <row r="202" spans="1:9" ht="12" customHeight="1">
      <c r="A202" s="68"/>
      <c r="B202" s="4" t="s">
        <v>30</v>
      </c>
      <c r="C202" s="5" t="s">
        <v>103</v>
      </c>
      <c r="D202" s="2" t="s">
        <v>98</v>
      </c>
      <c r="E202" s="7">
        <f>IF($I$17=1,SpeakerCorrection1!E73,0)+IF($I$17=2,SpeakerCorrection2!E73,0)+IF($I$17=3,SpeakerCorrection3!E73,0)+IF($I$17=4,SpeakerCorrection4!E73,0)</f>
        <v>0</v>
      </c>
      <c r="F202" s="7">
        <f>IF($I$17=1,SpeakerCorrection1!F73,0)+IF($I$17=2,SpeakerCorrection2!F73,0)+IF($I$17=3,SpeakerCorrection3!F73,0)+IF($I$17=4,SpeakerCorrection4!F73,0)</f>
        <v>0</v>
      </c>
      <c r="G202" s="7">
        <f>IF($I$17=1,SpeakerCorrection1!G73,0)+IF($I$17=2,SpeakerCorrection2!G73,0)+IF($I$17=3,SpeakerCorrection3!G73,0)+IF($I$17=4,SpeakerCorrection4!G73,0)</f>
        <v>0</v>
      </c>
      <c r="H202" s="7">
        <f>IF($I$17=1,SpeakerCorrection1!H73,0)+IF($I$17=2,SpeakerCorrection2!H73,0)+IF($I$17=3,SpeakerCorrection3!H73,0)+IF($I$17=4,SpeakerCorrection4!H73,0)</f>
        <v>0</v>
      </c>
      <c r="I202" s="47"/>
    </row>
    <row r="203" spans="1:9" ht="12" customHeight="1">
      <c r="A203" s="68"/>
      <c r="B203" s="4" t="s">
        <v>31</v>
      </c>
      <c r="C203" s="5" t="s">
        <v>103</v>
      </c>
      <c r="D203" s="2" t="s">
        <v>98</v>
      </c>
      <c r="E203" s="7">
        <f>IF($I$17=1,SpeakerCorrection1!E74,0)+IF($I$17=2,SpeakerCorrection2!E74,0)+IF($I$17=3,SpeakerCorrection3!E74,0)+IF($I$17=4,SpeakerCorrection4!E74,0)</f>
        <v>0</v>
      </c>
      <c r="F203" s="7">
        <f>IF($I$17=1,SpeakerCorrection1!F74,0)+IF($I$17=2,SpeakerCorrection2!F74,0)+IF($I$17=3,SpeakerCorrection3!F74,0)+IF($I$17=4,SpeakerCorrection4!F74,0)</f>
        <v>0</v>
      </c>
      <c r="G203" s="7">
        <f>IF($I$17=1,SpeakerCorrection1!G74,0)+IF($I$17=2,SpeakerCorrection2!G74,0)+IF($I$17=3,SpeakerCorrection3!G74,0)+IF($I$17=4,SpeakerCorrection4!G74,0)</f>
        <v>0</v>
      </c>
      <c r="H203" s="7">
        <f>IF($I$17=1,SpeakerCorrection1!H74,0)+IF($I$17=2,SpeakerCorrection2!H74,0)+IF($I$17=3,SpeakerCorrection3!H74,0)+IF($I$17=4,SpeakerCorrection4!H74,0)</f>
        <v>0</v>
      </c>
      <c r="I203" s="47"/>
    </row>
    <row r="204" spans="1:9" ht="12" customHeight="1">
      <c r="A204" s="68"/>
      <c r="B204" s="4" t="s">
        <v>32</v>
      </c>
      <c r="C204" s="5" t="s">
        <v>103</v>
      </c>
      <c r="D204" s="2" t="s">
        <v>98</v>
      </c>
      <c r="E204" s="7">
        <f>IF($I$17=1,SpeakerCorrection1!E75,0)+IF($I$17=2,SpeakerCorrection2!E75,0)+IF($I$17=3,SpeakerCorrection3!E75,0)+IF($I$17=4,SpeakerCorrection4!E75,0)</f>
        <v>0</v>
      </c>
      <c r="F204" s="7">
        <f>IF($I$17=1,SpeakerCorrection1!F75,0)+IF($I$17=2,SpeakerCorrection2!F75,0)+IF($I$17=3,SpeakerCorrection3!F75,0)+IF($I$17=4,SpeakerCorrection4!F75,0)</f>
        <v>0</v>
      </c>
      <c r="G204" s="7">
        <f>IF($I$17=1,SpeakerCorrection1!G75,0)+IF($I$17=2,SpeakerCorrection2!G75,0)+IF($I$17=3,SpeakerCorrection3!G75,0)+IF($I$17=4,SpeakerCorrection4!G75,0)</f>
        <v>0</v>
      </c>
      <c r="H204" s="7">
        <f>IF($I$17=1,SpeakerCorrection1!H75,0)+IF($I$17=2,SpeakerCorrection2!H75,0)+IF($I$17=3,SpeakerCorrection3!H75,0)+IF($I$17=4,SpeakerCorrection4!H75,0)</f>
        <v>0</v>
      </c>
      <c r="I204" s="47"/>
    </row>
    <row r="205" spans="1:9" ht="12" customHeight="1">
      <c r="A205" s="68"/>
      <c r="B205" s="4" t="s">
        <v>33</v>
      </c>
      <c r="C205" s="5" t="s">
        <v>103</v>
      </c>
      <c r="D205" s="2" t="s">
        <v>98</v>
      </c>
      <c r="E205" s="7">
        <f>IF($I$17=1,SpeakerCorrection1!E76,0)+IF($I$17=2,SpeakerCorrection2!E76,0)+IF($I$17=3,SpeakerCorrection3!E76,0)+IF($I$17=4,SpeakerCorrection4!E76,0)</f>
        <v>0</v>
      </c>
      <c r="F205" s="7">
        <f>IF($I$17=1,SpeakerCorrection1!F76,0)+IF($I$17=2,SpeakerCorrection2!F76,0)+IF($I$17=3,SpeakerCorrection3!F76,0)+IF($I$17=4,SpeakerCorrection4!F76,0)</f>
        <v>0</v>
      </c>
      <c r="G205" s="7">
        <f>IF($I$17=1,SpeakerCorrection1!G76,0)+IF($I$17=2,SpeakerCorrection2!G76,0)+IF($I$17=3,SpeakerCorrection3!G76,0)+IF($I$17=4,SpeakerCorrection4!G76,0)</f>
        <v>0</v>
      </c>
      <c r="H205" s="7">
        <f>IF($I$17=1,SpeakerCorrection1!H76,0)+IF($I$17=2,SpeakerCorrection2!H76,0)+IF($I$17=3,SpeakerCorrection3!H76,0)+IF($I$17=4,SpeakerCorrection4!H76,0)</f>
        <v>0</v>
      </c>
      <c r="I205" s="47"/>
    </row>
    <row r="206" spans="1:9" ht="12" customHeight="1">
      <c r="A206" s="69"/>
      <c r="B206" s="4" t="s">
        <v>34</v>
      </c>
      <c r="C206" s="5" t="s">
        <v>103</v>
      </c>
      <c r="D206" s="2" t="s">
        <v>98</v>
      </c>
      <c r="E206" s="7">
        <f>IF($I$17=1,SpeakerCorrection1!E77,0)+IF($I$17=2,SpeakerCorrection2!E77,0)+IF($I$17=3,SpeakerCorrection3!E77,0)+IF($I$17=4,SpeakerCorrection4!E77,0)</f>
        <v>0</v>
      </c>
      <c r="F206" s="7">
        <f>IF($I$17=1,SpeakerCorrection1!F77,0)+IF($I$17=2,SpeakerCorrection2!F77,0)+IF($I$17=3,SpeakerCorrection3!F77,0)+IF($I$17=4,SpeakerCorrection4!F77,0)</f>
        <v>0</v>
      </c>
      <c r="G206" s="7">
        <f>IF($I$17=1,SpeakerCorrection1!G77,0)+IF($I$17=2,SpeakerCorrection2!G77,0)+IF($I$17=3,SpeakerCorrection3!G77,0)+IF($I$17=4,SpeakerCorrection4!G77,0)</f>
        <v>0</v>
      </c>
      <c r="H206" s="7">
        <f>IF($I$17=1,SpeakerCorrection1!H77,0)+IF($I$17=2,SpeakerCorrection2!H77,0)+IF($I$17=3,SpeakerCorrection3!H77,0)+IF($I$17=4,SpeakerCorrection4!H77,0)</f>
        <v>0</v>
      </c>
      <c r="I206" s="47"/>
    </row>
    <row r="207" spans="1:9" ht="12" customHeight="1">
      <c r="A207" s="67" t="s">
        <v>96</v>
      </c>
      <c r="B207" s="4">
        <v>20</v>
      </c>
      <c r="C207" s="5" t="s">
        <v>103</v>
      </c>
      <c r="D207" s="2" t="s">
        <v>97</v>
      </c>
      <c r="E207" s="7">
        <f>IF($I$17=1,SpeakerCorrection1!E78,0)+IF($I$17=2,SpeakerCorrection2!E78,0)+IF($I$17=3,SpeakerCorrection3!E78,0)+IF($I$17=4,SpeakerCorrection4!E78,0)</f>
        <v>0</v>
      </c>
      <c r="F207" s="7">
        <f>IF($I$17=1,SpeakerCorrection1!F78,0)+IF($I$17=2,SpeakerCorrection2!F78,0)+IF($I$17=3,SpeakerCorrection3!F78,0)+IF($I$17=4,SpeakerCorrection4!F78,0)</f>
        <v>0</v>
      </c>
      <c r="G207" s="7">
        <f>IF($I$17=1,SpeakerCorrection1!G78,0)+IF($I$17=2,SpeakerCorrection2!G78,0)+IF($I$17=3,SpeakerCorrection3!G78,0)+IF($I$17=4,SpeakerCorrection4!G78,0)</f>
        <v>0</v>
      </c>
      <c r="H207" s="7">
        <f>IF($I$17=1,SpeakerCorrection1!H78,0)+IF($I$17=2,SpeakerCorrection2!H78,0)+IF($I$17=3,SpeakerCorrection3!H78,0)+IF($I$17=4,SpeakerCorrection4!H78,0)</f>
        <v>0</v>
      </c>
      <c r="I207" s="47"/>
    </row>
    <row r="208" spans="1:9" ht="12" customHeight="1">
      <c r="A208" s="68"/>
      <c r="B208" s="4">
        <v>30</v>
      </c>
      <c r="C208" s="5" t="s">
        <v>103</v>
      </c>
      <c r="D208" s="2" t="s">
        <v>97</v>
      </c>
      <c r="E208" s="7">
        <f>IF($I$17=1,SpeakerCorrection1!E79,0)+IF($I$17=2,SpeakerCorrection2!E79,0)+IF($I$17=3,SpeakerCorrection3!E79,0)+IF($I$17=4,SpeakerCorrection4!E79,0)</f>
        <v>0</v>
      </c>
      <c r="F208" s="7">
        <f>IF($I$17=1,SpeakerCorrection1!F79,0)+IF($I$17=2,SpeakerCorrection2!F79,0)+IF($I$17=3,SpeakerCorrection3!F79,0)+IF($I$17=4,SpeakerCorrection4!F79,0)</f>
        <v>0</v>
      </c>
      <c r="G208" s="7">
        <f>IF($I$17=1,SpeakerCorrection1!G79,0)+IF($I$17=2,SpeakerCorrection2!G79,0)+IF($I$17=3,SpeakerCorrection3!G79,0)+IF($I$17=4,SpeakerCorrection4!G79,0)</f>
        <v>0</v>
      </c>
      <c r="H208" s="7">
        <f>IF($I$17=1,SpeakerCorrection1!H79,0)+IF($I$17=2,SpeakerCorrection2!H79,0)+IF($I$17=3,SpeakerCorrection3!H79,0)+IF($I$17=4,SpeakerCorrection4!H79,0)</f>
        <v>0</v>
      </c>
      <c r="I208" s="47"/>
    </row>
    <row r="209" spans="1:9" ht="12" customHeight="1">
      <c r="A209" s="68"/>
      <c r="B209" s="4">
        <v>40</v>
      </c>
      <c r="C209" s="5" t="s">
        <v>103</v>
      </c>
      <c r="D209" s="2" t="s">
        <v>97</v>
      </c>
      <c r="E209" s="7">
        <f>IF($I$17=1,SpeakerCorrection1!E80,0)+IF($I$17=2,SpeakerCorrection2!E80,0)+IF($I$17=3,SpeakerCorrection3!E80,0)+IF($I$17=4,SpeakerCorrection4!E80,0)</f>
        <v>0</v>
      </c>
      <c r="F209" s="7">
        <f>IF($I$17=1,SpeakerCorrection1!F80,0)+IF($I$17=2,SpeakerCorrection2!F80,0)+IF($I$17=3,SpeakerCorrection3!F80,0)+IF($I$17=4,SpeakerCorrection4!F80,0)</f>
        <v>0</v>
      </c>
      <c r="G209" s="7">
        <f>IF($I$17=1,SpeakerCorrection1!G80,0)+IF($I$17=2,SpeakerCorrection2!G80,0)+IF($I$17=3,SpeakerCorrection3!G80,0)+IF($I$17=4,SpeakerCorrection4!G80,0)</f>
        <v>0</v>
      </c>
      <c r="H209" s="7">
        <f>IF($I$17=1,SpeakerCorrection1!H80,0)+IF($I$17=2,SpeakerCorrection2!H80,0)+IF($I$17=3,SpeakerCorrection3!H80,0)+IF($I$17=4,SpeakerCorrection4!H80,0)</f>
        <v>0</v>
      </c>
      <c r="I209" s="47"/>
    </row>
    <row r="210" spans="1:9" ht="12" customHeight="1">
      <c r="A210" s="68"/>
      <c r="B210" s="4">
        <v>50</v>
      </c>
      <c r="C210" s="5" t="s">
        <v>103</v>
      </c>
      <c r="D210" s="2" t="s">
        <v>97</v>
      </c>
      <c r="E210" s="7">
        <f>IF($I$17=1,SpeakerCorrection1!E81,0)+IF($I$17=2,SpeakerCorrection2!E81,0)+IF($I$17=3,SpeakerCorrection3!E81,0)+IF($I$17=4,SpeakerCorrection4!E81,0)</f>
        <v>0</v>
      </c>
      <c r="F210" s="7">
        <f>IF($I$17=1,SpeakerCorrection1!F81,0)+IF($I$17=2,SpeakerCorrection2!F81,0)+IF($I$17=3,SpeakerCorrection3!F81,0)+IF($I$17=4,SpeakerCorrection4!F81,0)</f>
        <v>0</v>
      </c>
      <c r="G210" s="7">
        <f>IF($I$17=1,SpeakerCorrection1!G81,0)+IF($I$17=2,SpeakerCorrection2!G81,0)+IF($I$17=3,SpeakerCorrection3!G81,0)+IF($I$17=4,SpeakerCorrection4!G81,0)</f>
        <v>0</v>
      </c>
      <c r="H210" s="7">
        <f>IF($I$17=1,SpeakerCorrection1!H81,0)+IF($I$17=2,SpeakerCorrection2!H81,0)+IF($I$17=3,SpeakerCorrection3!H81,0)+IF($I$17=4,SpeakerCorrection4!H81,0)</f>
        <v>0</v>
      </c>
      <c r="I210" s="47"/>
    </row>
    <row r="211" spans="1:9" ht="12" customHeight="1">
      <c r="A211" s="68"/>
      <c r="B211" s="4">
        <v>70</v>
      </c>
      <c r="C211" s="5" t="s">
        <v>103</v>
      </c>
      <c r="D211" s="2" t="s">
        <v>97</v>
      </c>
      <c r="E211" s="7">
        <f>IF($I$17=1,SpeakerCorrection1!E82,0)+IF($I$17=2,SpeakerCorrection2!E82,0)+IF($I$17=3,SpeakerCorrection3!E82,0)+IF($I$17=4,SpeakerCorrection4!E82,0)</f>
        <v>0</v>
      </c>
      <c r="F211" s="7">
        <f>IF($I$17=1,SpeakerCorrection1!F82,0)+IF($I$17=2,SpeakerCorrection2!F82,0)+IF($I$17=3,SpeakerCorrection3!F82,0)+IF($I$17=4,SpeakerCorrection4!F82,0)</f>
        <v>0</v>
      </c>
      <c r="G211" s="7">
        <f>IF($I$17=1,SpeakerCorrection1!G82,0)+IF($I$17=2,SpeakerCorrection2!G82,0)+IF($I$17=3,SpeakerCorrection3!G82,0)+IF($I$17=4,SpeakerCorrection4!G82,0)</f>
        <v>0</v>
      </c>
      <c r="H211" s="7">
        <f>IF($I$17=1,SpeakerCorrection1!H82,0)+IF($I$17=2,SpeakerCorrection2!H82,0)+IF($I$17=3,SpeakerCorrection3!H82,0)+IF($I$17=4,SpeakerCorrection4!H82,0)</f>
        <v>0</v>
      </c>
      <c r="I211" s="47"/>
    </row>
    <row r="212" spans="1:9" ht="12" customHeight="1">
      <c r="A212" s="68"/>
      <c r="B212" s="4">
        <v>100</v>
      </c>
      <c r="C212" s="5" t="s">
        <v>103</v>
      </c>
      <c r="D212" s="2" t="s">
        <v>97</v>
      </c>
      <c r="E212" s="7">
        <f>IF($I$17=1,SpeakerCorrection1!E83,0)+IF($I$17=2,SpeakerCorrection2!E83,0)+IF($I$17=3,SpeakerCorrection3!E83,0)+IF($I$17=4,SpeakerCorrection4!E83,0)</f>
        <v>0</v>
      </c>
      <c r="F212" s="7">
        <f>IF($I$17=1,SpeakerCorrection1!F83,0)+IF($I$17=2,SpeakerCorrection2!F83,0)+IF($I$17=3,SpeakerCorrection3!F83,0)+IF($I$17=4,SpeakerCorrection4!F83,0)</f>
        <v>0</v>
      </c>
      <c r="G212" s="7">
        <f>IF($I$17=1,SpeakerCorrection1!G83,0)+IF($I$17=2,SpeakerCorrection2!G83,0)+IF($I$17=3,SpeakerCorrection3!G83,0)+IF($I$17=4,SpeakerCorrection4!G83,0)</f>
        <v>0</v>
      </c>
      <c r="H212" s="7">
        <f>IF($I$17=1,SpeakerCorrection1!H83,0)+IF($I$17=2,SpeakerCorrection2!H83,0)+IF($I$17=3,SpeakerCorrection3!H83,0)+IF($I$17=4,SpeakerCorrection4!H83,0)</f>
        <v>0</v>
      </c>
      <c r="I212" s="47"/>
    </row>
    <row r="213" spans="1:9" ht="12" customHeight="1">
      <c r="A213" s="68"/>
      <c r="B213" s="4">
        <v>150</v>
      </c>
      <c r="C213" s="5" t="s">
        <v>103</v>
      </c>
      <c r="D213" s="2" t="s">
        <v>97</v>
      </c>
      <c r="E213" s="7">
        <f>IF($I$17=1,SpeakerCorrection1!E84,0)+IF($I$17=2,SpeakerCorrection2!E84,0)+IF($I$17=3,SpeakerCorrection3!E84,0)+IF($I$17=4,SpeakerCorrection4!E84,0)</f>
        <v>0</v>
      </c>
      <c r="F213" s="7">
        <f>IF($I$17=1,SpeakerCorrection1!F84,0)+IF($I$17=2,SpeakerCorrection2!F84,0)+IF($I$17=3,SpeakerCorrection3!F84,0)+IF($I$17=4,SpeakerCorrection4!F84,0)</f>
        <v>0</v>
      </c>
      <c r="G213" s="7">
        <f>IF($I$17=1,SpeakerCorrection1!G84,0)+IF($I$17=2,SpeakerCorrection2!G84,0)+IF($I$17=3,SpeakerCorrection3!G84,0)+IF($I$17=4,SpeakerCorrection4!G84,0)</f>
        <v>0</v>
      </c>
      <c r="H213" s="7">
        <f>IF($I$17=1,SpeakerCorrection1!H84,0)+IF($I$17=2,SpeakerCorrection2!H84,0)+IF($I$17=3,SpeakerCorrection3!H84,0)+IF($I$17=4,SpeakerCorrection4!H84,0)</f>
        <v>0</v>
      </c>
      <c r="I213" s="47"/>
    </row>
    <row r="214" spans="1:9" ht="12" customHeight="1">
      <c r="A214" s="68"/>
      <c r="B214" s="4">
        <v>200</v>
      </c>
      <c r="C214" s="5" t="s">
        <v>103</v>
      </c>
      <c r="D214" s="2" t="s">
        <v>97</v>
      </c>
      <c r="E214" s="7">
        <f>IF($I$17=1,SpeakerCorrection1!E85,0)+IF($I$17=2,SpeakerCorrection2!E85,0)+IF($I$17=3,SpeakerCorrection3!E85,0)+IF($I$17=4,SpeakerCorrection4!E85,0)</f>
        <v>0</v>
      </c>
      <c r="F214" s="7">
        <f>IF($I$17=1,SpeakerCorrection1!F85,0)+IF($I$17=2,SpeakerCorrection2!F85,0)+IF($I$17=3,SpeakerCorrection3!F85,0)+IF($I$17=4,SpeakerCorrection4!F85,0)</f>
        <v>0</v>
      </c>
      <c r="G214" s="7">
        <f>IF($I$17=1,SpeakerCorrection1!G85,0)+IF($I$17=2,SpeakerCorrection2!G85,0)+IF($I$17=3,SpeakerCorrection3!G85,0)+IF($I$17=4,SpeakerCorrection4!G85,0)</f>
        <v>0</v>
      </c>
      <c r="H214" s="7">
        <f>IF($I$17=1,SpeakerCorrection1!H85,0)+IF($I$17=2,SpeakerCorrection2!H85,0)+IF($I$17=3,SpeakerCorrection3!H85,0)+IF($I$17=4,SpeakerCorrection4!H85,0)</f>
        <v>0</v>
      </c>
      <c r="I214" s="47"/>
    </row>
    <row r="215" spans="1:9" ht="12" customHeight="1">
      <c r="A215" s="68"/>
      <c r="B215" s="4">
        <v>300</v>
      </c>
      <c r="C215" s="5" t="s">
        <v>103</v>
      </c>
      <c r="D215" s="2" t="s">
        <v>97</v>
      </c>
      <c r="E215" s="7">
        <f>IF($I$17=1,SpeakerCorrection1!E86,0)+IF($I$17=2,SpeakerCorrection2!E86,0)+IF($I$17=3,SpeakerCorrection3!E86,0)+IF($I$17=4,SpeakerCorrection4!E86,0)</f>
        <v>0</v>
      </c>
      <c r="F215" s="7">
        <f>IF($I$17=1,SpeakerCorrection1!F86,0)+IF($I$17=2,SpeakerCorrection2!F86,0)+IF($I$17=3,SpeakerCorrection3!F86,0)+IF($I$17=4,SpeakerCorrection4!F86,0)</f>
        <v>0</v>
      </c>
      <c r="G215" s="7">
        <f>IF($I$17=1,SpeakerCorrection1!G86,0)+IF($I$17=2,SpeakerCorrection2!G86,0)+IF($I$17=3,SpeakerCorrection3!G86,0)+IF($I$17=4,SpeakerCorrection4!G86,0)</f>
        <v>0</v>
      </c>
      <c r="H215" s="7">
        <f>IF($I$17=1,SpeakerCorrection1!H86,0)+IF($I$17=2,SpeakerCorrection2!H86,0)+IF($I$17=3,SpeakerCorrection3!H86,0)+IF($I$17=4,SpeakerCorrection4!H86,0)</f>
        <v>0</v>
      </c>
      <c r="I215" s="47"/>
    </row>
    <row r="216" spans="1:9" ht="12" customHeight="1">
      <c r="A216" s="68"/>
      <c r="B216" s="4">
        <v>400</v>
      </c>
      <c r="C216" s="5" t="s">
        <v>103</v>
      </c>
      <c r="D216" s="2" t="s">
        <v>97</v>
      </c>
      <c r="E216" s="7">
        <f>IF($I$17=1,SpeakerCorrection1!E87,0)+IF($I$17=2,SpeakerCorrection2!E87,0)+IF($I$17=3,SpeakerCorrection3!E87,0)+IF($I$17=4,SpeakerCorrection4!E87,0)</f>
        <v>0</v>
      </c>
      <c r="F216" s="7">
        <f>IF($I$17=1,SpeakerCorrection1!F87,0)+IF($I$17=2,SpeakerCorrection2!F87,0)+IF($I$17=3,SpeakerCorrection3!F87,0)+IF($I$17=4,SpeakerCorrection4!F87,0)</f>
        <v>0</v>
      </c>
      <c r="G216" s="7">
        <f>IF($I$17=1,SpeakerCorrection1!G87,0)+IF($I$17=2,SpeakerCorrection2!G87,0)+IF($I$17=3,SpeakerCorrection3!G87,0)+IF($I$17=4,SpeakerCorrection4!G87,0)</f>
        <v>0</v>
      </c>
      <c r="H216" s="7">
        <f>IF($I$17=1,SpeakerCorrection1!H87,0)+IF($I$17=2,SpeakerCorrection2!H87,0)+IF($I$17=3,SpeakerCorrection3!H87,0)+IF($I$17=4,SpeakerCorrection4!H87,0)</f>
        <v>0</v>
      </c>
      <c r="I216" s="47"/>
    </row>
    <row r="217" spans="1:9" ht="12" customHeight="1">
      <c r="A217" s="68"/>
      <c r="B217" s="4">
        <v>500</v>
      </c>
      <c r="C217" s="5" t="s">
        <v>103</v>
      </c>
      <c r="D217" s="2" t="s">
        <v>97</v>
      </c>
      <c r="E217" s="7">
        <f>IF($I$17=1,SpeakerCorrection1!E88,0)+IF($I$17=2,SpeakerCorrection2!E88,0)+IF($I$17=3,SpeakerCorrection3!E88,0)+IF($I$17=4,SpeakerCorrection4!E88,0)</f>
        <v>0</v>
      </c>
      <c r="F217" s="7">
        <f>IF($I$17=1,SpeakerCorrection1!F88,0)+IF($I$17=2,SpeakerCorrection2!F88,0)+IF($I$17=3,SpeakerCorrection3!F88,0)+IF($I$17=4,SpeakerCorrection4!F88,0)</f>
        <v>0</v>
      </c>
      <c r="G217" s="7">
        <f>IF($I$17=1,SpeakerCorrection1!G88,0)+IF($I$17=2,SpeakerCorrection2!G88,0)+IF($I$17=3,SpeakerCorrection3!G88,0)+IF($I$17=4,SpeakerCorrection4!G88,0)</f>
        <v>0</v>
      </c>
      <c r="H217" s="7">
        <f>IF($I$17=1,SpeakerCorrection1!H88,0)+IF($I$17=2,SpeakerCorrection2!H88,0)+IF($I$17=3,SpeakerCorrection3!H88,0)+IF($I$17=4,SpeakerCorrection4!H88,0)</f>
        <v>0</v>
      </c>
      <c r="I217" s="47"/>
    </row>
    <row r="218" spans="1:9" ht="12" customHeight="1">
      <c r="A218" s="68"/>
      <c r="B218" s="4">
        <v>700</v>
      </c>
      <c r="C218" s="5" t="s">
        <v>103</v>
      </c>
      <c r="D218" s="2" t="s">
        <v>97</v>
      </c>
      <c r="E218" s="7">
        <f>IF($I$17=1,SpeakerCorrection1!E89,0)+IF($I$17=2,SpeakerCorrection2!E89,0)+IF($I$17=3,SpeakerCorrection3!E89,0)+IF($I$17=4,SpeakerCorrection4!E89,0)</f>
        <v>0</v>
      </c>
      <c r="F218" s="7">
        <f>IF($I$17=1,SpeakerCorrection1!F89,0)+IF($I$17=2,SpeakerCorrection2!F89,0)+IF($I$17=3,SpeakerCorrection3!F89,0)+IF($I$17=4,SpeakerCorrection4!F89,0)</f>
        <v>0</v>
      </c>
      <c r="G218" s="7">
        <f>IF($I$17=1,SpeakerCorrection1!G89,0)+IF($I$17=2,SpeakerCorrection2!G89,0)+IF($I$17=3,SpeakerCorrection3!G89,0)+IF($I$17=4,SpeakerCorrection4!G89,0)</f>
        <v>0</v>
      </c>
      <c r="H218" s="7">
        <f>IF($I$17=1,SpeakerCorrection1!H89,0)+IF($I$17=2,SpeakerCorrection2!H89,0)+IF($I$17=3,SpeakerCorrection3!H89,0)+IF($I$17=4,SpeakerCorrection4!H89,0)</f>
        <v>0</v>
      </c>
      <c r="I218" s="47"/>
    </row>
    <row r="219" spans="1:9" ht="12" customHeight="1">
      <c r="A219" s="68"/>
      <c r="B219" s="4" t="s">
        <v>5</v>
      </c>
      <c r="C219" s="5" t="s">
        <v>103</v>
      </c>
      <c r="D219" s="2" t="s">
        <v>97</v>
      </c>
      <c r="E219" s="7">
        <f>IF($I$17=1,SpeakerCorrection1!E90,0)+IF($I$17=2,SpeakerCorrection2!E90,0)+IF($I$17=3,SpeakerCorrection3!E90,0)+IF($I$17=4,SpeakerCorrection4!E90,0)</f>
        <v>0</v>
      </c>
      <c r="F219" s="7">
        <f>IF($I$17=1,SpeakerCorrection1!F90,0)+IF($I$17=2,SpeakerCorrection2!F90,0)+IF($I$17=3,SpeakerCorrection3!F90,0)+IF($I$17=4,SpeakerCorrection4!F90,0)</f>
        <v>0</v>
      </c>
      <c r="G219" s="7">
        <f>IF($I$17=1,SpeakerCorrection1!G90,0)+IF($I$17=2,SpeakerCorrection2!G90,0)+IF($I$17=3,SpeakerCorrection3!G90,0)+IF($I$17=4,SpeakerCorrection4!G90,0)</f>
        <v>0</v>
      </c>
      <c r="H219" s="7">
        <f>IF($I$17=1,SpeakerCorrection1!H90,0)+IF($I$17=2,SpeakerCorrection2!H90,0)+IF($I$17=3,SpeakerCorrection3!H90,0)+IF($I$17=4,SpeakerCorrection4!H90,0)</f>
        <v>0</v>
      </c>
      <c r="I219" s="47"/>
    </row>
    <row r="220" spans="1:9" ht="12" customHeight="1">
      <c r="A220" s="68"/>
      <c r="B220" s="4" t="s">
        <v>6</v>
      </c>
      <c r="C220" s="5" t="s">
        <v>103</v>
      </c>
      <c r="D220" s="2" t="s">
        <v>97</v>
      </c>
      <c r="E220" s="7">
        <f>IF($I$17=1,SpeakerCorrection1!E91,0)+IF($I$17=2,SpeakerCorrection2!E91,0)+IF($I$17=3,SpeakerCorrection3!E91,0)+IF($I$17=4,SpeakerCorrection4!E91,0)</f>
        <v>0</v>
      </c>
      <c r="F220" s="7">
        <f>IF($I$17=1,SpeakerCorrection1!F91,0)+IF($I$17=2,SpeakerCorrection2!F91,0)+IF($I$17=3,SpeakerCorrection3!F91,0)+IF($I$17=4,SpeakerCorrection4!F91,0)</f>
        <v>0</v>
      </c>
      <c r="G220" s="7">
        <f>IF($I$17=1,SpeakerCorrection1!G91,0)+IF($I$17=2,SpeakerCorrection2!G91,0)+IF($I$17=3,SpeakerCorrection3!G91,0)+IF($I$17=4,SpeakerCorrection4!G91,0)</f>
        <v>0</v>
      </c>
      <c r="H220" s="7">
        <f>IF($I$17=1,SpeakerCorrection1!H91,0)+IF($I$17=2,SpeakerCorrection2!H91,0)+IF($I$17=3,SpeakerCorrection3!H91,0)+IF($I$17=4,SpeakerCorrection4!H91,0)</f>
        <v>0</v>
      </c>
      <c r="I220" s="47"/>
    </row>
    <row r="221" spans="1:9" ht="12" customHeight="1">
      <c r="A221" s="68"/>
      <c r="B221" s="4" t="s">
        <v>7</v>
      </c>
      <c r="C221" s="5" t="s">
        <v>103</v>
      </c>
      <c r="D221" s="2" t="s">
        <v>97</v>
      </c>
      <c r="E221" s="7">
        <f>IF($I$17=1,SpeakerCorrection1!E92,0)+IF($I$17=2,SpeakerCorrection2!E92,0)+IF($I$17=3,SpeakerCorrection3!E92,0)+IF($I$17=4,SpeakerCorrection4!E92,0)</f>
        <v>0</v>
      </c>
      <c r="F221" s="7">
        <f>IF($I$17=1,SpeakerCorrection1!F92,0)+IF($I$17=2,SpeakerCorrection2!F92,0)+IF($I$17=3,SpeakerCorrection3!F92,0)+IF($I$17=4,SpeakerCorrection4!F92,0)</f>
        <v>0</v>
      </c>
      <c r="G221" s="7">
        <f>IF($I$17=1,SpeakerCorrection1!G92,0)+IF($I$17=2,SpeakerCorrection2!G92,0)+IF($I$17=3,SpeakerCorrection3!G92,0)+IF($I$17=4,SpeakerCorrection4!G92,0)</f>
        <v>0</v>
      </c>
      <c r="H221" s="7">
        <f>IF($I$17=1,SpeakerCorrection1!H92,0)+IF($I$17=2,SpeakerCorrection2!H92,0)+IF($I$17=3,SpeakerCorrection3!H92,0)+IF($I$17=4,SpeakerCorrection4!H92,0)</f>
        <v>0</v>
      </c>
      <c r="I221" s="47"/>
    </row>
    <row r="222" spans="1:9" ht="12" customHeight="1">
      <c r="A222" s="68"/>
      <c r="B222" s="4" t="s">
        <v>8</v>
      </c>
      <c r="C222" s="5" t="s">
        <v>103</v>
      </c>
      <c r="D222" s="2" t="s">
        <v>97</v>
      </c>
      <c r="E222" s="7">
        <f>IF($I$17=1,SpeakerCorrection1!E93,0)+IF($I$17=2,SpeakerCorrection2!E93,0)+IF($I$17=3,SpeakerCorrection3!E93,0)+IF($I$17=4,SpeakerCorrection4!E93,0)</f>
        <v>0</v>
      </c>
      <c r="F222" s="7">
        <f>IF($I$17=1,SpeakerCorrection1!F93,0)+IF($I$17=2,SpeakerCorrection2!F93,0)+IF($I$17=3,SpeakerCorrection3!F93,0)+IF($I$17=4,SpeakerCorrection4!F93,0)</f>
        <v>0</v>
      </c>
      <c r="G222" s="7">
        <f>IF($I$17=1,SpeakerCorrection1!G93,0)+IF($I$17=2,SpeakerCorrection2!G93,0)+IF($I$17=3,SpeakerCorrection3!G93,0)+IF($I$17=4,SpeakerCorrection4!G93,0)</f>
        <v>0</v>
      </c>
      <c r="H222" s="7">
        <f>IF($I$17=1,SpeakerCorrection1!H93,0)+IF($I$17=2,SpeakerCorrection2!H93,0)+IF($I$17=3,SpeakerCorrection3!H93,0)+IF($I$17=4,SpeakerCorrection4!H93,0)</f>
        <v>0</v>
      </c>
      <c r="I222" s="47"/>
    </row>
    <row r="223" spans="1:9" ht="12" customHeight="1">
      <c r="A223" s="68"/>
      <c r="B223" s="4" t="s">
        <v>9</v>
      </c>
      <c r="C223" s="5" t="s">
        <v>103</v>
      </c>
      <c r="D223" s="2" t="s">
        <v>97</v>
      </c>
      <c r="E223" s="7">
        <f>IF($I$17=1,SpeakerCorrection1!E94,0)+IF($I$17=2,SpeakerCorrection2!E94,0)+IF($I$17=3,SpeakerCorrection3!E94,0)+IF($I$17=4,SpeakerCorrection4!E94,0)</f>
        <v>0</v>
      </c>
      <c r="F223" s="7">
        <f>IF($I$17=1,SpeakerCorrection1!F94,0)+IF($I$17=2,SpeakerCorrection2!F94,0)+IF($I$17=3,SpeakerCorrection3!F94,0)+IF($I$17=4,SpeakerCorrection4!F94,0)</f>
        <v>0</v>
      </c>
      <c r="G223" s="7">
        <f>IF($I$17=1,SpeakerCorrection1!G94,0)+IF($I$17=2,SpeakerCorrection2!G94,0)+IF($I$17=3,SpeakerCorrection3!G94,0)+IF($I$17=4,SpeakerCorrection4!G94,0)</f>
        <v>0</v>
      </c>
      <c r="H223" s="7">
        <f>IF($I$17=1,SpeakerCorrection1!H94,0)+IF($I$17=2,SpeakerCorrection2!H94,0)+IF($I$17=3,SpeakerCorrection3!H94,0)+IF($I$17=4,SpeakerCorrection4!H94,0)</f>
        <v>0</v>
      </c>
      <c r="I223" s="47"/>
    </row>
    <row r="224" spans="1:9" ht="12" customHeight="1">
      <c r="A224" s="68"/>
      <c r="B224" s="4" t="s">
        <v>10</v>
      </c>
      <c r="C224" s="5" t="s">
        <v>103</v>
      </c>
      <c r="D224" s="2" t="s">
        <v>97</v>
      </c>
      <c r="E224" s="7">
        <f>IF($I$17=1,SpeakerCorrection1!E95,0)+IF($I$17=2,SpeakerCorrection2!E95,0)+IF($I$17=3,SpeakerCorrection3!E95,0)+IF($I$17=4,SpeakerCorrection4!E95,0)</f>
        <v>0</v>
      </c>
      <c r="F224" s="7">
        <f>IF($I$17=1,SpeakerCorrection1!F95,0)+IF($I$17=2,SpeakerCorrection2!F95,0)+IF($I$17=3,SpeakerCorrection3!F95,0)+IF($I$17=4,SpeakerCorrection4!F95,0)</f>
        <v>0</v>
      </c>
      <c r="G224" s="7">
        <f>IF($I$17=1,SpeakerCorrection1!G95,0)+IF($I$17=2,SpeakerCorrection2!G95,0)+IF($I$17=3,SpeakerCorrection3!G95,0)+IF($I$17=4,SpeakerCorrection4!G95,0)</f>
        <v>0</v>
      </c>
      <c r="H224" s="7">
        <f>IF($I$17=1,SpeakerCorrection1!H95,0)+IF($I$17=2,SpeakerCorrection2!H95,0)+IF($I$17=3,SpeakerCorrection3!H95,0)+IF($I$17=4,SpeakerCorrection4!H95,0)</f>
        <v>0</v>
      </c>
      <c r="I224" s="47"/>
    </row>
    <row r="225" spans="1:9" ht="12" customHeight="1">
      <c r="A225" s="68"/>
      <c r="B225" s="4" t="s">
        <v>11</v>
      </c>
      <c r="C225" s="5" t="s">
        <v>103</v>
      </c>
      <c r="D225" s="2" t="s">
        <v>97</v>
      </c>
      <c r="E225" s="7">
        <f>IF($I$17=1,SpeakerCorrection1!E96,0)+IF($I$17=2,SpeakerCorrection2!E96,0)+IF($I$17=3,SpeakerCorrection3!E96,0)+IF($I$17=4,SpeakerCorrection4!E96,0)</f>
        <v>0</v>
      </c>
      <c r="F225" s="7">
        <f>IF($I$17=1,SpeakerCorrection1!F96,0)+IF($I$17=2,SpeakerCorrection2!F96,0)+IF($I$17=3,SpeakerCorrection3!F96,0)+IF($I$17=4,SpeakerCorrection4!F96,0)</f>
        <v>0</v>
      </c>
      <c r="G225" s="7">
        <f>IF($I$17=1,SpeakerCorrection1!G96,0)+IF($I$17=2,SpeakerCorrection2!G96,0)+IF($I$17=3,SpeakerCorrection3!G96,0)+IF($I$17=4,SpeakerCorrection4!G96,0)</f>
        <v>0</v>
      </c>
      <c r="H225" s="7">
        <f>IF($I$17=1,SpeakerCorrection1!H96,0)+IF($I$17=2,SpeakerCorrection2!H96,0)+IF($I$17=3,SpeakerCorrection3!H96,0)+IF($I$17=4,SpeakerCorrection4!H96,0)</f>
        <v>0</v>
      </c>
      <c r="I225" s="47"/>
    </row>
    <row r="226" spans="1:9" ht="12" customHeight="1">
      <c r="A226" s="68"/>
      <c r="B226" s="4" t="s">
        <v>12</v>
      </c>
      <c r="C226" s="5" t="s">
        <v>103</v>
      </c>
      <c r="D226" s="2" t="s">
        <v>97</v>
      </c>
      <c r="E226" s="7">
        <f>IF($I$17=1,SpeakerCorrection1!E97,0)+IF($I$17=2,SpeakerCorrection2!E97,0)+IF($I$17=3,SpeakerCorrection3!E97,0)+IF($I$17=4,SpeakerCorrection4!E97,0)</f>
        <v>0</v>
      </c>
      <c r="F226" s="7">
        <f>IF($I$17=1,SpeakerCorrection1!F97,0)+IF($I$17=2,SpeakerCorrection2!F97,0)+IF($I$17=3,SpeakerCorrection3!F97,0)+IF($I$17=4,SpeakerCorrection4!F97,0)</f>
        <v>0</v>
      </c>
      <c r="G226" s="7">
        <f>IF($I$17=1,SpeakerCorrection1!G97,0)+IF($I$17=2,SpeakerCorrection2!G97,0)+IF($I$17=3,SpeakerCorrection3!G97,0)+IF($I$17=4,SpeakerCorrection4!G97,0)</f>
        <v>0</v>
      </c>
      <c r="H226" s="7">
        <f>IF($I$17=1,SpeakerCorrection1!H97,0)+IF($I$17=2,SpeakerCorrection2!H97,0)+IF($I$17=3,SpeakerCorrection3!H97,0)+IF($I$17=4,SpeakerCorrection4!H97,0)</f>
        <v>0</v>
      </c>
      <c r="I226" s="47"/>
    </row>
    <row r="227" spans="1:9" ht="12" customHeight="1">
      <c r="A227" s="68"/>
      <c r="B227" s="4" t="s">
        <v>13</v>
      </c>
      <c r="C227" s="5" t="s">
        <v>103</v>
      </c>
      <c r="D227" s="2" t="s">
        <v>97</v>
      </c>
      <c r="E227" s="7">
        <f>IF($I$17=1,SpeakerCorrection1!E98,0)+IF($I$17=2,SpeakerCorrection2!E98,0)+IF($I$17=3,SpeakerCorrection3!E98,0)+IF($I$17=4,SpeakerCorrection4!E98,0)</f>
        <v>0</v>
      </c>
      <c r="F227" s="7">
        <f>IF($I$17=1,SpeakerCorrection1!F98,0)+IF($I$17=2,SpeakerCorrection2!F98,0)+IF($I$17=3,SpeakerCorrection3!F98,0)+IF($I$17=4,SpeakerCorrection4!F98,0)</f>
        <v>0</v>
      </c>
      <c r="G227" s="7">
        <f>IF($I$17=1,SpeakerCorrection1!G98,0)+IF($I$17=2,SpeakerCorrection2!G98,0)+IF($I$17=3,SpeakerCorrection3!G98,0)+IF($I$17=4,SpeakerCorrection4!G98,0)</f>
        <v>0</v>
      </c>
      <c r="H227" s="7">
        <f>IF($I$17=1,SpeakerCorrection1!H98,0)+IF($I$17=2,SpeakerCorrection2!H98,0)+IF($I$17=3,SpeakerCorrection3!H98,0)+IF($I$17=4,SpeakerCorrection4!H98,0)</f>
        <v>0</v>
      </c>
      <c r="I227" s="47"/>
    </row>
    <row r="228" spans="1:9" ht="12" customHeight="1">
      <c r="A228" s="69"/>
      <c r="B228" s="4" t="s">
        <v>14</v>
      </c>
      <c r="C228" s="5" t="s">
        <v>103</v>
      </c>
      <c r="D228" s="2" t="s">
        <v>97</v>
      </c>
      <c r="E228" s="7">
        <f>IF($I$17=1,SpeakerCorrection1!E99,0)+IF($I$17=2,SpeakerCorrection2!E99,0)+IF($I$17=3,SpeakerCorrection3!E99,0)+IF($I$17=4,SpeakerCorrection4!E99,0)</f>
        <v>0</v>
      </c>
      <c r="F228" s="7">
        <f>IF($I$17=1,SpeakerCorrection1!F99,0)+IF($I$17=2,SpeakerCorrection2!F99,0)+IF($I$17=3,SpeakerCorrection3!F99,0)+IF($I$17=4,SpeakerCorrection4!F99,0)</f>
        <v>0</v>
      </c>
      <c r="G228" s="7">
        <f>IF($I$17=1,SpeakerCorrection1!G99,0)+IF($I$17=2,SpeakerCorrection2!G99,0)+IF($I$17=3,SpeakerCorrection3!G99,0)+IF($I$17=4,SpeakerCorrection4!G99,0)</f>
        <v>0</v>
      </c>
      <c r="H228" s="7">
        <f>IF($I$17=1,SpeakerCorrection1!H99,0)+IF($I$17=2,SpeakerCorrection2!H99,0)+IF($I$17=3,SpeakerCorrection3!H99,0)+IF($I$17=4,SpeakerCorrection4!H99,0)</f>
        <v>0</v>
      </c>
      <c r="I228" s="47"/>
    </row>
  </sheetData>
  <sheetProtection password="BF23" sheet="1" objects="1" scenarios="1"/>
  <mergeCells count="20">
    <mergeCell ref="A185:A206"/>
    <mergeCell ref="A207:A228"/>
    <mergeCell ref="A163:A184"/>
    <mergeCell ref="A53:A74"/>
    <mergeCell ref="A75:A96"/>
    <mergeCell ref="A119:A140"/>
    <mergeCell ref="A141:A162"/>
    <mergeCell ref="A18:A19"/>
    <mergeCell ref="A46:A52"/>
    <mergeCell ref="B20:C20"/>
    <mergeCell ref="A97:A118"/>
    <mergeCell ref="A23:A30"/>
    <mergeCell ref="A31:A37"/>
    <mergeCell ref="A38:A45"/>
    <mergeCell ref="J29:N29"/>
    <mergeCell ref="O29:O30"/>
    <mergeCell ref="O31:O52"/>
    <mergeCell ref="O53:O74"/>
    <mergeCell ref="A1:G1"/>
    <mergeCell ref="H16:I16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headerFooter alignWithMargins="0">
    <oddHeader>&amp;R&amp;P/&amp;N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80" t="s">
        <v>169</v>
      </c>
      <c r="B1" s="81"/>
      <c r="C1" s="81"/>
      <c r="D1" s="81"/>
      <c r="E1" s="81"/>
      <c r="F1" s="82"/>
      <c r="G1" s="28" t="s">
        <v>123</v>
      </c>
      <c r="H1" s="29" t="s">
        <v>122</v>
      </c>
      <c r="I1" s="50" t="s">
        <v>108</v>
      </c>
    </row>
    <row r="2" spans="1:16" ht="15" customHeight="1">
      <c r="A2" s="21"/>
      <c r="B2" s="22"/>
      <c r="C2" s="22"/>
      <c r="D2" s="22"/>
      <c r="E2" s="22"/>
      <c r="F2" s="22"/>
      <c r="G2" s="22"/>
      <c r="H2" s="23"/>
      <c r="I2" s="51" t="s">
        <v>162</v>
      </c>
      <c r="J2" s="1"/>
      <c r="K2" s="1"/>
      <c r="L2" s="1"/>
      <c r="M2" s="1"/>
      <c r="N2" s="1"/>
      <c r="O2" s="1"/>
      <c r="P2" s="1"/>
    </row>
    <row r="3" spans="1:16" ht="15" customHeight="1">
      <c r="A3" s="24"/>
      <c r="B3" s="25"/>
      <c r="C3" s="25"/>
      <c r="D3" s="25"/>
      <c r="E3" s="25"/>
      <c r="F3" s="25"/>
      <c r="G3" s="25"/>
      <c r="H3" s="26"/>
      <c r="I3" s="1" t="s">
        <v>158</v>
      </c>
      <c r="J3" s="1"/>
      <c r="K3" s="1"/>
      <c r="L3" s="1"/>
      <c r="M3" s="1"/>
      <c r="N3" s="1"/>
      <c r="O3" s="1"/>
      <c r="P3" s="1"/>
    </row>
    <row r="4" spans="1:16" ht="15" customHeight="1">
      <c r="A4" s="24"/>
      <c r="B4" s="25"/>
      <c r="C4" s="25"/>
      <c r="D4" s="25"/>
      <c r="E4" s="25"/>
      <c r="F4" s="25"/>
      <c r="G4" s="25"/>
      <c r="H4" s="26"/>
      <c r="I4" s="1" t="s">
        <v>159</v>
      </c>
      <c r="J4" s="1"/>
      <c r="K4" s="1"/>
      <c r="L4" s="1"/>
      <c r="M4" s="1"/>
      <c r="N4" s="1"/>
      <c r="O4" s="1"/>
      <c r="P4" s="1"/>
    </row>
    <row r="5" spans="1:16" ht="15" customHeight="1">
      <c r="A5" s="24"/>
      <c r="B5" s="25"/>
      <c r="C5" s="25"/>
      <c r="D5" s="25"/>
      <c r="E5" s="25"/>
      <c r="F5" s="25"/>
      <c r="G5" s="25"/>
      <c r="H5" s="26"/>
      <c r="I5" s="1" t="s">
        <v>160</v>
      </c>
      <c r="J5" s="1"/>
      <c r="K5" s="1"/>
      <c r="L5" s="1"/>
      <c r="M5" s="1"/>
      <c r="N5" s="1"/>
      <c r="O5" s="1"/>
      <c r="P5" s="1"/>
    </row>
    <row r="6" spans="1:16" ht="15" customHeight="1">
      <c r="A6" s="24"/>
      <c r="B6" s="25"/>
      <c r="C6" s="25"/>
      <c r="D6" s="25"/>
      <c r="E6" s="25"/>
      <c r="F6" s="25"/>
      <c r="G6" s="25"/>
      <c r="H6" s="26"/>
      <c r="I6" s="1" t="s">
        <v>161</v>
      </c>
      <c r="J6" s="1"/>
      <c r="K6" s="1"/>
      <c r="L6" s="1"/>
      <c r="M6" s="1"/>
      <c r="N6" s="1"/>
      <c r="O6" s="1"/>
      <c r="P6" s="1"/>
    </row>
    <row r="7" spans="1:16" ht="15" customHeight="1">
      <c r="A7" s="24"/>
      <c r="B7" s="25"/>
      <c r="C7" s="25"/>
      <c r="D7" s="25"/>
      <c r="E7" s="25"/>
      <c r="F7" s="25"/>
      <c r="G7" s="25"/>
      <c r="H7" s="26"/>
      <c r="I7" s="95" t="s">
        <v>189</v>
      </c>
      <c r="J7" s="1"/>
      <c r="K7" s="1"/>
      <c r="L7" s="1"/>
      <c r="M7" s="1"/>
      <c r="N7" s="1"/>
      <c r="O7" s="1"/>
      <c r="P7" s="1"/>
    </row>
    <row r="8" spans="1:16" ht="15" customHeight="1">
      <c r="A8" s="24"/>
      <c r="B8" s="25"/>
      <c r="C8" s="25"/>
      <c r="D8" s="25"/>
      <c r="E8" s="25"/>
      <c r="F8" s="25"/>
      <c r="G8" s="25"/>
      <c r="H8" s="26"/>
      <c r="I8" s="94" t="s">
        <v>190</v>
      </c>
      <c r="J8" s="1"/>
      <c r="K8" s="1"/>
      <c r="L8" s="1"/>
      <c r="M8" s="1"/>
      <c r="N8" s="1"/>
      <c r="O8" s="1"/>
      <c r="P8" s="1"/>
    </row>
    <row r="9" spans="1:16" ht="15" customHeight="1">
      <c r="A9" s="24"/>
      <c r="B9" s="25"/>
      <c r="C9" s="25"/>
      <c r="D9" s="25"/>
      <c r="E9" s="25"/>
      <c r="F9" s="25"/>
      <c r="G9" s="25"/>
      <c r="H9" s="26"/>
      <c r="I9" s="94" t="s">
        <v>191</v>
      </c>
      <c r="J9" s="1"/>
      <c r="K9" s="1"/>
      <c r="L9" s="1"/>
      <c r="M9" s="1"/>
      <c r="N9" s="1"/>
      <c r="O9" s="1"/>
      <c r="P9" s="1"/>
    </row>
    <row r="10" spans="1:16" ht="15" customHeight="1">
      <c r="A10" s="24"/>
      <c r="B10" s="25"/>
      <c r="C10" s="25"/>
      <c r="D10" s="25"/>
      <c r="E10" s="25"/>
      <c r="F10" s="25"/>
      <c r="G10" s="25"/>
      <c r="H10" s="26"/>
      <c r="I10" s="94" t="s">
        <v>192</v>
      </c>
      <c r="J10" s="1"/>
      <c r="K10" s="1"/>
      <c r="L10" s="1"/>
      <c r="M10" s="1"/>
      <c r="N10" s="1"/>
      <c r="O10" s="1"/>
      <c r="P10" s="1"/>
    </row>
    <row r="11" spans="1:16" ht="15" customHeight="1">
      <c r="A11" s="24"/>
      <c r="B11" s="25"/>
      <c r="C11" s="25"/>
      <c r="D11" s="25"/>
      <c r="E11" s="25"/>
      <c r="F11" s="25"/>
      <c r="G11" s="25"/>
      <c r="H11" s="26"/>
      <c r="I11" s="94" t="s">
        <v>193</v>
      </c>
      <c r="J11" s="1"/>
      <c r="K11" s="1"/>
      <c r="L11" s="1"/>
      <c r="M11" s="1"/>
      <c r="N11" s="1"/>
      <c r="O11" s="1"/>
      <c r="P11" s="1"/>
    </row>
    <row r="12" spans="1:16" ht="15" customHeight="1">
      <c r="A12" s="24"/>
      <c r="B12" s="25"/>
      <c r="C12" s="25"/>
      <c r="D12" s="25"/>
      <c r="E12" s="25"/>
      <c r="F12" s="25"/>
      <c r="G12" s="25"/>
      <c r="H12" s="26"/>
      <c r="I12" s="94" t="s">
        <v>194</v>
      </c>
      <c r="J12" s="1"/>
      <c r="K12" s="1"/>
      <c r="L12" s="1"/>
      <c r="M12" s="1"/>
      <c r="N12" s="1"/>
      <c r="O12" s="1"/>
      <c r="P12" s="1"/>
    </row>
    <row r="13" spans="1:16" ht="15" customHeight="1">
      <c r="A13" s="24"/>
      <c r="B13" s="25"/>
      <c r="C13" s="25"/>
      <c r="D13" s="25"/>
      <c r="E13" s="25"/>
      <c r="F13" s="25"/>
      <c r="G13" s="25"/>
      <c r="H13" s="26"/>
      <c r="I13" s="93" t="s">
        <v>195</v>
      </c>
      <c r="J13" s="1"/>
      <c r="K13" s="1"/>
      <c r="L13" s="1"/>
      <c r="M13" s="1"/>
      <c r="N13" s="1"/>
      <c r="O13" s="1"/>
      <c r="P13" s="1"/>
    </row>
    <row r="14" spans="1:16" ht="15" customHeight="1">
      <c r="A14" s="24"/>
      <c r="B14" s="25"/>
      <c r="C14" s="25"/>
      <c r="D14" s="25"/>
      <c r="E14" s="25"/>
      <c r="F14" s="25"/>
      <c r="G14" s="25"/>
      <c r="H14" s="26"/>
      <c r="I14" s="94" t="s">
        <v>196</v>
      </c>
      <c r="J14" s="1"/>
      <c r="K14" s="1"/>
      <c r="L14" s="1"/>
      <c r="M14" s="1"/>
      <c r="N14" s="1"/>
      <c r="O14" s="1"/>
      <c r="P14" s="1"/>
    </row>
    <row r="15" spans="1:16" ht="15" customHeight="1">
      <c r="A15" s="24"/>
      <c r="B15" s="25"/>
      <c r="C15" s="25"/>
      <c r="D15" s="25"/>
      <c r="E15" s="25"/>
      <c r="F15" s="25"/>
      <c r="G15" s="25"/>
      <c r="H15" s="26"/>
      <c r="I15" s="1"/>
      <c r="J15" s="1"/>
      <c r="K15" s="1"/>
      <c r="L15" s="1"/>
      <c r="M15" s="1"/>
      <c r="N15" s="1"/>
      <c r="O15" s="1"/>
      <c r="P15" s="1"/>
    </row>
    <row r="16" spans="1:16" ht="12" customHeight="1">
      <c r="A16" s="27" t="s">
        <v>72</v>
      </c>
      <c r="B16" s="70" t="s">
        <v>80</v>
      </c>
      <c r="C16" s="71"/>
      <c r="D16" s="27" t="s">
        <v>88</v>
      </c>
      <c r="E16" s="2" t="s">
        <v>121</v>
      </c>
      <c r="F16" s="2" t="s">
        <v>124</v>
      </c>
      <c r="G16" s="2" t="s">
        <v>128</v>
      </c>
      <c r="H16" s="31" t="s">
        <v>136</v>
      </c>
      <c r="I16" s="1"/>
      <c r="J16" s="1"/>
      <c r="K16" s="1"/>
      <c r="L16" s="1"/>
      <c r="M16" s="1"/>
      <c r="N16" s="1"/>
      <c r="O16" s="1"/>
      <c r="P16" s="1"/>
    </row>
    <row r="17" spans="1:16" ht="12" customHeight="1">
      <c r="A17" s="11" t="s">
        <v>141</v>
      </c>
      <c r="B17" s="13" t="s">
        <v>142</v>
      </c>
      <c r="C17" s="14" t="s">
        <v>149</v>
      </c>
      <c r="D17" s="2" t="s">
        <v>2</v>
      </c>
      <c r="E17" s="16">
        <v>6</v>
      </c>
      <c r="F17" s="16">
        <v>6</v>
      </c>
      <c r="G17" s="16">
        <v>6</v>
      </c>
      <c r="H17" s="16">
        <v>6</v>
      </c>
      <c r="I17" s="1"/>
      <c r="J17" s="1"/>
      <c r="K17" s="1"/>
      <c r="L17" s="1"/>
      <c r="M17" s="1"/>
      <c r="N17" s="1"/>
      <c r="O17" s="1"/>
      <c r="P17" s="1"/>
    </row>
    <row r="18" spans="1:16" ht="12" customHeight="1">
      <c r="A18" s="10" t="s">
        <v>143</v>
      </c>
      <c r="B18" s="13" t="s">
        <v>142</v>
      </c>
      <c r="C18" s="11" t="s">
        <v>150</v>
      </c>
      <c r="D18" s="2" t="s">
        <v>3</v>
      </c>
      <c r="E18" s="39">
        <v>91</v>
      </c>
      <c r="F18" s="39">
        <v>91</v>
      </c>
      <c r="G18" s="39">
        <v>91</v>
      </c>
      <c r="H18" s="39">
        <v>91</v>
      </c>
      <c r="I18" s="1"/>
      <c r="J18" s="1"/>
      <c r="K18" s="1"/>
      <c r="L18" s="1"/>
      <c r="M18" s="1"/>
      <c r="N18" s="1"/>
      <c r="O18" s="1"/>
      <c r="P18" s="1"/>
    </row>
    <row r="19" spans="1:16" ht="12" customHeight="1">
      <c r="A19" s="10" t="s">
        <v>148</v>
      </c>
      <c r="B19" s="83" t="s">
        <v>147</v>
      </c>
      <c r="C19" s="84"/>
      <c r="D19" s="85"/>
      <c r="E19" s="9"/>
      <c r="F19" s="9"/>
      <c r="G19" s="9">
        <v>1</v>
      </c>
      <c r="H19" s="9"/>
      <c r="I19" s="1"/>
      <c r="J19" s="1"/>
      <c r="K19" s="1"/>
      <c r="L19" s="1"/>
      <c r="M19" s="1"/>
      <c r="N19" s="1"/>
      <c r="O19" s="1"/>
      <c r="P19" s="1"/>
    </row>
    <row r="20" spans="1:16" ht="12" customHeight="1">
      <c r="A20" s="11" t="s">
        <v>144</v>
      </c>
      <c r="B20" s="49" t="s">
        <v>146</v>
      </c>
      <c r="C20" s="11" t="s">
        <v>59</v>
      </c>
      <c r="D20" s="2" t="s">
        <v>4</v>
      </c>
      <c r="E20" s="48">
        <f>IF(OR(AND(F20&lt;&gt;0,F21&lt;&gt;0,F20&gt;=F21),AND(G20&lt;&gt;0,G21&lt;&gt;0,G20&gt;=G21)),"周波数不適","")</f>
      </c>
      <c r="F20" s="9"/>
      <c r="G20" s="9">
        <v>2000</v>
      </c>
      <c r="H20" s="9"/>
      <c r="I20" s="1"/>
      <c r="J20" s="1"/>
      <c r="K20" s="1"/>
      <c r="L20" s="1"/>
      <c r="M20" s="1"/>
      <c r="N20" s="1"/>
      <c r="O20" s="1"/>
      <c r="P20" s="1"/>
    </row>
    <row r="21" spans="1:16" ht="12" customHeight="1">
      <c r="A21" s="11" t="s">
        <v>145</v>
      </c>
      <c r="B21" s="49" t="s">
        <v>146</v>
      </c>
      <c r="C21" s="11" t="s">
        <v>60</v>
      </c>
      <c r="D21" s="2" t="s">
        <v>45</v>
      </c>
      <c r="E21" s="9">
        <v>2000</v>
      </c>
      <c r="F21" s="9"/>
      <c r="G21" s="9"/>
      <c r="H21" s="17"/>
      <c r="I21" s="1"/>
      <c r="J21" s="1"/>
      <c r="K21" s="1"/>
      <c r="L21" s="1"/>
      <c r="M21" s="1"/>
      <c r="N21" s="1"/>
      <c r="O21" s="1"/>
      <c r="P21" s="1"/>
    </row>
    <row r="22" spans="1:16" ht="12" customHeight="1">
      <c r="A22" s="78" t="s">
        <v>151</v>
      </c>
      <c r="B22" s="10" t="s">
        <v>78</v>
      </c>
      <c r="C22" s="11" t="s">
        <v>65</v>
      </c>
      <c r="D22" s="2" t="s">
        <v>104</v>
      </c>
      <c r="E22" s="17"/>
      <c r="F22" s="3">
        <f>IF(F$20="","",F$17*10^3/(2*PI()*F20))</f>
      </c>
      <c r="G22" s="3">
        <f>IF(G$20="","",G$17*10^3/(2*PI()*G20))</f>
        <v>0.47746482927568606</v>
      </c>
      <c r="H22" s="3">
        <f>IF(H$20="","",H$17*10^3/(2*PI()*H20))</f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79"/>
      <c r="B23" s="10" t="s">
        <v>79</v>
      </c>
      <c r="C23" s="11" t="s">
        <v>66</v>
      </c>
      <c r="D23" s="52" t="s">
        <v>105</v>
      </c>
      <c r="E23" s="12"/>
      <c r="F23" s="3">
        <f>IF(F$20="","",10^6/(2*PI()*F20*F$17))</f>
      </c>
      <c r="G23" s="3">
        <f>IF(G$20="","",10^6/(2*PI()*G20*G$17))</f>
        <v>13.262911924324612</v>
      </c>
      <c r="H23" s="3">
        <f>IF(H$20="","",10^6/(2*PI()*H20*H$17))</f>
      </c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78" t="s">
        <v>152</v>
      </c>
      <c r="B24" s="10" t="s">
        <v>78</v>
      </c>
      <c r="C24" s="11" t="s">
        <v>67</v>
      </c>
      <c r="D24" s="2" t="s">
        <v>104</v>
      </c>
      <c r="E24" s="3">
        <f>IF(E$21="","",E$17*10^3/(2*PI()*E21))</f>
        <v>0.47746482927568606</v>
      </c>
      <c r="F24" s="3">
        <f>IF(F$21="","",F$17*10^3/(2*PI()*F21))</f>
      </c>
      <c r="G24" s="3">
        <f>IF(G$21="","",G$17*10^3/(2*PI()*G21))</f>
      </c>
      <c r="H24" s="12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79"/>
      <c r="B25" s="10" t="s">
        <v>79</v>
      </c>
      <c r="C25" s="11" t="s">
        <v>68</v>
      </c>
      <c r="D25" s="52" t="s">
        <v>105</v>
      </c>
      <c r="E25" s="3">
        <f>IF(E$21="","",10^6/(2*PI()*E21*E$17))</f>
        <v>13.262911924324612</v>
      </c>
      <c r="F25" s="3">
        <f>IF(F$21="","",10^6/(2*PI()*F21*F$17))</f>
      </c>
      <c r="G25" s="3">
        <f>IF(G$21="","",10^6/(2*PI()*G21*G$17))</f>
      </c>
      <c r="H25" s="12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72" t="s">
        <v>75</v>
      </c>
      <c r="B26" s="10" t="s">
        <v>84</v>
      </c>
      <c r="C26" s="11" t="s">
        <v>153</v>
      </c>
      <c r="D26" s="2" t="s">
        <v>100</v>
      </c>
      <c r="E26" s="16">
        <v>6</v>
      </c>
      <c r="F26" s="16">
        <v>6</v>
      </c>
      <c r="G26" s="16">
        <v>6</v>
      </c>
      <c r="H26" s="16">
        <v>6</v>
      </c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73"/>
      <c r="B27" s="10" t="s">
        <v>81</v>
      </c>
      <c r="C27" s="11" t="s">
        <v>154</v>
      </c>
      <c r="D27" s="2" t="s">
        <v>0</v>
      </c>
      <c r="E27" s="39">
        <v>91</v>
      </c>
      <c r="F27" s="39">
        <v>91</v>
      </c>
      <c r="G27" s="39">
        <v>105</v>
      </c>
      <c r="H27" s="39">
        <v>91</v>
      </c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73"/>
      <c r="B28" s="83" t="s">
        <v>163</v>
      </c>
      <c r="C28" s="84"/>
      <c r="D28" s="85"/>
      <c r="E28" s="9"/>
      <c r="F28" s="9"/>
      <c r="G28" s="9">
        <v>1</v>
      </c>
      <c r="H28" s="9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73"/>
      <c r="B29" s="10" t="s">
        <v>83</v>
      </c>
      <c r="C29" s="11" t="s">
        <v>126</v>
      </c>
      <c r="D29" s="2" t="s">
        <v>107</v>
      </c>
      <c r="E29" s="12">
        <f>IF(E$17*E$18*E$26*E$27=0,"",IF(E$28=0,"",IF(E$18&gt;E$27+10*LOG(E$17/E$26),"Unable",IF(E$26/(10^((E$18-E$27-10*LOG(E$17/E$26))/20))-E$17=0,"Blank",IF(E$28=2,IF(E$17&gt;=E$26,"Blank",E$17*E$26/ABS(E$26-E$17)),E$17*E$26/ABS(E$26/(10^((E$18-E$27-10*LOG(E$17/E$26))/20))-E$17))))))</f>
      </c>
      <c r="F29" s="12">
        <f>IF(F$17*F$18*F$26*F$27=0,"",IF(F$28=0,"",IF(F$18&gt;F$27+10*LOG(F$17/F$26),"Unable",IF(F$26/(10^((F$18-F$27-10*LOG(F$17/F$26))/20))-F$17=0,"Blank",IF(F$28=2,IF(F$17&gt;=F$26,"Blank",F$17*F$26/ABS(F$26-F$17)),F$17*F$26/ABS(F$26/(10^((F$18-F$27-10*LOG(F$17/F$26))/20))-F$17))))))</f>
      </c>
      <c r="G29" s="12">
        <f>IF(G$17*G$18*G$26*G$27=0,"",IF(G$28=0,"",IF(G$18&gt;G$27+10*LOG(G$17/G$26),"Unable",IF(G$26/(10^((G$18-G$27-10*LOG(G$17/G$26))/20))-G$17=0,"Blank",IF(G$28=2,IF(G$17&gt;=G$26,"Blank",G$17*G$26/ABS(G$26-G$17)),G$17*G$26/ABS(G$26/(10^((G$18-G$27-10*LOG(G$17/G$26))/20))-G$17))))))</f>
        <v>1.4955610490772422</v>
      </c>
      <c r="H29" s="12">
        <f>IF(H$17*H$18*H$26*H$27=0,"",IF(H$28=0,"",IF(H$18&gt;H$27+10*LOG(H$17/H$26),"Unable",IF(H$26/(10^((H$18-H$27-10*LOG(H$17/H$26))/20))-H$17=0,"Blank",IF(H$28=2,IF(H$17&gt;=H$26,"Blank",H$17*H$26/ABS(H$26-H$17)),H$17*H$26/ABS(H$26/(10^((H$18-H$27-10*LOG(H$17/H$26))/20))-H$17))))))</f>
      </c>
      <c r="I29" s="1"/>
      <c r="J29" s="1"/>
      <c r="K29" s="1"/>
      <c r="L29" s="1"/>
      <c r="M29" s="1"/>
      <c r="N29" s="1"/>
      <c r="O29" s="1"/>
      <c r="P29" s="1"/>
    </row>
    <row r="30" spans="1:16" ht="12" customHeight="1">
      <c r="A30" s="73"/>
      <c r="B30" s="10" t="s">
        <v>85</v>
      </c>
      <c r="C30" s="11" t="s">
        <v>127</v>
      </c>
      <c r="D30" s="2" t="s">
        <v>107</v>
      </c>
      <c r="E30" s="12">
        <f>IF(E$17*E$18*E$26*E$27=0,"",IF(E$28=0,"",IF(E$27+E$33&lt;E$18,"Unable",IF(E$29="Unable","Unable",IF(E$29="Blank",E$17-E$26,E$17-E$29*E$26/(E$29+E$26))))))</f>
      </c>
      <c r="F30" s="12">
        <f>IF(F$17*F$18*F$26*F$27=0,"",IF(F$28=0,"",IF(F$27+F$33&lt;F$18,"Unable",IF(F$29="Unable","Unable",IF(F$29="Blank",F$17-F$26,F$17-F$29*F$26/(F$29+F$26))))))</f>
      </c>
      <c r="G30" s="12">
        <f>IF(G$17*G$18*G$26*G$27=0,"",IF(G$28=0,"",IF(G$27+G$33&lt;G$18,"Unable",IF(G$29="Unable","Unable",IF(G$29="Blank",G$17-G$26,G$17-G$29*G$26/(G$29+G$26))))))</f>
        <v>4.802842611018672</v>
      </c>
      <c r="H30" s="12">
        <f>IF(H$17*H$18*H$26*H$27=0,"",IF(H$28=0,"",IF(H$27+H$33&lt;H$18,"Unable",IF(H$29="Unable","Unable",IF(H$29="Blank",H$17-H$26,H$17-H$29*H$26/(H$29+H$26))))))</f>
      </c>
      <c r="I30" s="1"/>
      <c r="J30" s="1"/>
      <c r="K30" s="1"/>
      <c r="L30" s="1"/>
      <c r="M30" s="1"/>
      <c r="N30" s="1"/>
      <c r="O30" s="1"/>
      <c r="P30" s="1"/>
    </row>
    <row r="31" spans="1:16" ht="12" customHeight="1">
      <c r="A31" s="73"/>
      <c r="B31" s="10" t="s">
        <v>86</v>
      </c>
      <c r="C31" s="19" t="s">
        <v>57</v>
      </c>
      <c r="D31" s="2" t="s">
        <v>107</v>
      </c>
      <c r="E31" s="20">
        <f>IF(E$17*E$18*E$26*E$27=0,"",IF(OR(E$28=1,E$28=2),E$17,E$26))</f>
        <v>6</v>
      </c>
      <c r="F31" s="20">
        <f>IF(F$17*F$18*F$26*F$27=0,"",IF(OR(F$28=1,F$28=2),F$17,F$26))</f>
        <v>6</v>
      </c>
      <c r="G31" s="20">
        <f>IF(G$17*G$18*G$26*G$27=0,"",IF(OR(G$28=1,G$28=2),G$17,G$26))</f>
        <v>6</v>
      </c>
      <c r="H31" s="20">
        <f>IF(H$17*H$18*H$26*H$27=0,"",IF(OR(H$28=1,H$28=2),H$17,H$26))</f>
        <v>6</v>
      </c>
      <c r="I31" s="1"/>
      <c r="J31" s="1"/>
      <c r="K31" s="1"/>
      <c r="L31" s="1"/>
      <c r="M31" s="1"/>
      <c r="N31" s="1"/>
      <c r="O31" s="1"/>
      <c r="P31" s="1"/>
    </row>
    <row r="32" spans="1:16" ht="12" customHeight="1">
      <c r="A32" s="73"/>
      <c r="B32" s="10" t="s">
        <v>87</v>
      </c>
      <c r="C32" s="11" t="s">
        <v>58</v>
      </c>
      <c r="D32" s="2" t="s">
        <v>89</v>
      </c>
      <c r="E32" s="12">
        <f>IF(E$17*E$18*E$26*E$27=0,"",10^(E$33/20))</f>
        <v>1</v>
      </c>
      <c r="F32" s="12">
        <f>IF(F$17*F$18*F$26*F$27=0,"",10^(F$33/20))</f>
        <v>1</v>
      </c>
      <c r="G32" s="12">
        <f>IF(G$17*G$18*G$26*G$27=0,"",10^(G$33/20))</f>
        <v>1</v>
      </c>
      <c r="H32" s="12">
        <f>IF(H$17*H$18*H$26*H$27=0,"",10^(H$33/20))</f>
        <v>1</v>
      </c>
      <c r="I32" s="1"/>
      <c r="J32" s="1"/>
      <c r="K32" s="1"/>
      <c r="L32" s="1"/>
      <c r="M32" s="1"/>
      <c r="N32" s="1"/>
      <c r="O32" s="1"/>
      <c r="P32" s="1"/>
    </row>
    <row r="33" spans="1:16" ht="12" customHeight="1">
      <c r="A33" s="74"/>
      <c r="B33" s="10" t="s">
        <v>87</v>
      </c>
      <c r="C33" s="11" t="s">
        <v>58</v>
      </c>
      <c r="D33" s="2" t="s">
        <v>98</v>
      </c>
      <c r="E33" s="12">
        <f>IF(E$17*E$18*E$26*E$27=0,"",IF(E$28=1,0,E$27-E$18+10*LOG(E$17/E$26)+IF(E$28=2,IF(E$29="Blank",20*LOG(E$26/E$31),20*LOG(E$26*E$29/((E$26+E$29)*E$31))),0)))</f>
        <v>0</v>
      </c>
      <c r="F33" s="12">
        <f>IF(F$17*F$18*F$26*F$27=0,"",IF(F$28=1,0,F$27-F$18+10*LOG(F$17/F$26)+IF(F$28=2,IF(F$29="Blank",20*LOG(F$26/F$31),20*LOG(F$26*F$29/((F$26+F$29)*F$31))),0)))</f>
        <v>0</v>
      </c>
      <c r="G33" s="12">
        <f>IF(G$17*G$18*G$26*G$27=0,"",IF(G$28=1,0,G$27-G$18+10*LOG(G$17/G$26)+IF(G$28=2,IF(G$29="Blank",20*LOG(G$26/G$31),20*LOG(G$26*G$29/((G$26+G$29)*G$31))),0)))</f>
        <v>0</v>
      </c>
      <c r="H33" s="12">
        <f>IF(H$17*H$18*H$26*H$27=0,"",IF(H$28=1,0,H$27-H$18+10*LOG(H$17/H$26)+IF(H$28=2,IF(H$29="Blank",20*LOG(H$26/H$31),20*LOG(H$26*H$29/((H$26+H$29)*H$31))),0)))</f>
        <v>0</v>
      </c>
      <c r="I33" s="1"/>
      <c r="J33" s="1"/>
      <c r="K33" s="1"/>
      <c r="L33" s="1"/>
      <c r="M33" s="1"/>
      <c r="N33" s="1"/>
      <c r="O33" s="1"/>
      <c r="P33" s="1"/>
    </row>
    <row r="34" spans="1:8" ht="12" customHeight="1">
      <c r="A34" s="77" t="s">
        <v>73</v>
      </c>
      <c r="B34" s="4">
        <v>20</v>
      </c>
      <c r="C34" s="5" t="s">
        <v>103</v>
      </c>
      <c r="D34" s="2" t="s">
        <v>164</v>
      </c>
      <c r="E34" s="6">
        <f aca="true" t="shared" si="0" ref="E34:H55">E$17</f>
        <v>6</v>
      </c>
      <c r="F34" s="6">
        <f t="shared" si="0"/>
        <v>6</v>
      </c>
      <c r="G34" s="6">
        <f t="shared" si="0"/>
        <v>6</v>
      </c>
      <c r="H34" s="6">
        <f t="shared" si="0"/>
        <v>6</v>
      </c>
    </row>
    <row r="35" spans="1:8" ht="12" customHeight="1">
      <c r="A35" s="77"/>
      <c r="B35" s="4">
        <v>30</v>
      </c>
      <c r="C35" s="5" t="s">
        <v>103</v>
      </c>
      <c r="D35" s="2" t="s">
        <v>164</v>
      </c>
      <c r="E35" s="6">
        <f t="shared" si="0"/>
        <v>6</v>
      </c>
      <c r="F35" s="6">
        <f t="shared" si="0"/>
        <v>6</v>
      </c>
      <c r="G35" s="6">
        <f t="shared" si="0"/>
        <v>6</v>
      </c>
      <c r="H35" s="6">
        <f t="shared" si="0"/>
        <v>6</v>
      </c>
    </row>
    <row r="36" spans="1:8" ht="12" customHeight="1">
      <c r="A36" s="77"/>
      <c r="B36" s="4">
        <v>40</v>
      </c>
      <c r="C36" s="5" t="s">
        <v>103</v>
      </c>
      <c r="D36" s="2" t="s">
        <v>164</v>
      </c>
      <c r="E36" s="6">
        <f t="shared" si="0"/>
        <v>6</v>
      </c>
      <c r="F36" s="6">
        <f t="shared" si="0"/>
        <v>6</v>
      </c>
      <c r="G36" s="6">
        <f t="shared" si="0"/>
        <v>6</v>
      </c>
      <c r="H36" s="6">
        <f t="shared" si="0"/>
        <v>6</v>
      </c>
    </row>
    <row r="37" spans="1:8" ht="12" customHeight="1">
      <c r="A37" s="86"/>
      <c r="B37" s="4">
        <v>50</v>
      </c>
      <c r="C37" s="5" t="s">
        <v>103</v>
      </c>
      <c r="D37" s="2" t="s">
        <v>164</v>
      </c>
      <c r="E37" s="6">
        <f t="shared" si="0"/>
        <v>6</v>
      </c>
      <c r="F37" s="6">
        <f t="shared" si="0"/>
        <v>6</v>
      </c>
      <c r="G37" s="6">
        <f t="shared" si="0"/>
        <v>6</v>
      </c>
      <c r="H37" s="6">
        <f t="shared" si="0"/>
        <v>6</v>
      </c>
    </row>
    <row r="38" spans="1:8" ht="12" customHeight="1">
      <c r="A38" s="86"/>
      <c r="B38" s="4">
        <v>70</v>
      </c>
      <c r="C38" s="5" t="s">
        <v>103</v>
      </c>
      <c r="D38" s="2" t="s">
        <v>164</v>
      </c>
      <c r="E38" s="6">
        <f t="shared" si="0"/>
        <v>6</v>
      </c>
      <c r="F38" s="6">
        <f t="shared" si="0"/>
        <v>6</v>
      </c>
      <c r="G38" s="6">
        <f t="shared" si="0"/>
        <v>6</v>
      </c>
      <c r="H38" s="6">
        <f t="shared" si="0"/>
        <v>6</v>
      </c>
    </row>
    <row r="39" spans="1:8" ht="12" customHeight="1">
      <c r="A39" s="86"/>
      <c r="B39" s="4">
        <v>100</v>
      </c>
      <c r="C39" s="5" t="s">
        <v>103</v>
      </c>
      <c r="D39" s="2" t="s">
        <v>164</v>
      </c>
      <c r="E39" s="6">
        <f t="shared" si="0"/>
        <v>6</v>
      </c>
      <c r="F39" s="6">
        <f t="shared" si="0"/>
        <v>6</v>
      </c>
      <c r="G39" s="6">
        <f t="shared" si="0"/>
        <v>6</v>
      </c>
      <c r="H39" s="6">
        <f t="shared" si="0"/>
        <v>6</v>
      </c>
    </row>
    <row r="40" spans="1:8" ht="12" customHeight="1">
      <c r="A40" s="86"/>
      <c r="B40" s="4">
        <v>150</v>
      </c>
      <c r="C40" s="5" t="s">
        <v>103</v>
      </c>
      <c r="D40" s="2" t="s">
        <v>164</v>
      </c>
      <c r="E40" s="6">
        <f t="shared" si="0"/>
        <v>6</v>
      </c>
      <c r="F40" s="6">
        <f t="shared" si="0"/>
        <v>6</v>
      </c>
      <c r="G40" s="6">
        <f t="shared" si="0"/>
        <v>6</v>
      </c>
      <c r="H40" s="6">
        <f t="shared" si="0"/>
        <v>6</v>
      </c>
    </row>
    <row r="41" spans="1:8" ht="12" customHeight="1">
      <c r="A41" s="86"/>
      <c r="B41" s="4">
        <v>200</v>
      </c>
      <c r="C41" s="5" t="s">
        <v>103</v>
      </c>
      <c r="D41" s="2" t="s">
        <v>164</v>
      </c>
      <c r="E41" s="6">
        <f t="shared" si="0"/>
        <v>6</v>
      </c>
      <c r="F41" s="6">
        <f t="shared" si="0"/>
        <v>6</v>
      </c>
      <c r="G41" s="6">
        <f t="shared" si="0"/>
        <v>6</v>
      </c>
      <c r="H41" s="6">
        <f t="shared" si="0"/>
        <v>6</v>
      </c>
    </row>
    <row r="42" spans="1:8" ht="12" customHeight="1">
      <c r="A42" s="86"/>
      <c r="B42" s="4">
        <v>300</v>
      </c>
      <c r="C42" s="5" t="s">
        <v>103</v>
      </c>
      <c r="D42" s="2" t="s">
        <v>164</v>
      </c>
      <c r="E42" s="6">
        <f t="shared" si="0"/>
        <v>6</v>
      </c>
      <c r="F42" s="6">
        <f t="shared" si="0"/>
        <v>6</v>
      </c>
      <c r="G42" s="6">
        <f t="shared" si="0"/>
        <v>6</v>
      </c>
      <c r="H42" s="6">
        <f t="shared" si="0"/>
        <v>6</v>
      </c>
    </row>
    <row r="43" spans="1:8" ht="12" customHeight="1">
      <c r="A43" s="86"/>
      <c r="B43" s="4">
        <v>400</v>
      </c>
      <c r="C43" s="5" t="s">
        <v>103</v>
      </c>
      <c r="D43" s="2" t="s">
        <v>164</v>
      </c>
      <c r="E43" s="6">
        <f t="shared" si="0"/>
        <v>6</v>
      </c>
      <c r="F43" s="6">
        <f t="shared" si="0"/>
        <v>6</v>
      </c>
      <c r="G43" s="6">
        <f t="shared" si="0"/>
        <v>6</v>
      </c>
      <c r="H43" s="6">
        <f t="shared" si="0"/>
        <v>6</v>
      </c>
    </row>
    <row r="44" spans="1:8" ht="12" customHeight="1">
      <c r="A44" s="86"/>
      <c r="B44" s="4">
        <v>500</v>
      </c>
      <c r="C44" s="5" t="s">
        <v>103</v>
      </c>
      <c r="D44" s="2" t="s">
        <v>164</v>
      </c>
      <c r="E44" s="6">
        <f t="shared" si="0"/>
        <v>6</v>
      </c>
      <c r="F44" s="6">
        <f t="shared" si="0"/>
        <v>6</v>
      </c>
      <c r="G44" s="6">
        <f t="shared" si="0"/>
        <v>6</v>
      </c>
      <c r="H44" s="6">
        <f t="shared" si="0"/>
        <v>6</v>
      </c>
    </row>
    <row r="45" spans="1:8" ht="12" customHeight="1">
      <c r="A45" s="86"/>
      <c r="B45" s="4">
        <v>700</v>
      </c>
      <c r="C45" s="5" t="s">
        <v>103</v>
      </c>
      <c r="D45" s="2" t="s">
        <v>164</v>
      </c>
      <c r="E45" s="6">
        <f t="shared" si="0"/>
        <v>6</v>
      </c>
      <c r="F45" s="6">
        <f t="shared" si="0"/>
        <v>6</v>
      </c>
      <c r="G45" s="6">
        <f t="shared" si="0"/>
        <v>6</v>
      </c>
      <c r="H45" s="6">
        <f t="shared" si="0"/>
        <v>6</v>
      </c>
    </row>
    <row r="46" spans="1:8" ht="12" customHeight="1">
      <c r="A46" s="86"/>
      <c r="B46" s="4" t="s">
        <v>46</v>
      </c>
      <c r="C46" s="5" t="s">
        <v>103</v>
      </c>
      <c r="D46" s="2" t="s">
        <v>164</v>
      </c>
      <c r="E46" s="6">
        <f t="shared" si="0"/>
        <v>6</v>
      </c>
      <c r="F46" s="6">
        <f t="shared" si="0"/>
        <v>6</v>
      </c>
      <c r="G46" s="6">
        <f t="shared" si="0"/>
        <v>6</v>
      </c>
      <c r="H46" s="6">
        <f t="shared" si="0"/>
        <v>6</v>
      </c>
    </row>
    <row r="47" spans="1:8" ht="12" customHeight="1">
      <c r="A47" s="86"/>
      <c r="B47" s="4" t="s">
        <v>47</v>
      </c>
      <c r="C47" s="5" t="s">
        <v>103</v>
      </c>
      <c r="D47" s="2" t="s">
        <v>164</v>
      </c>
      <c r="E47" s="6">
        <f t="shared" si="0"/>
        <v>6</v>
      </c>
      <c r="F47" s="6">
        <f t="shared" si="0"/>
        <v>6</v>
      </c>
      <c r="G47" s="6">
        <f t="shared" si="0"/>
        <v>6</v>
      </c>
      <c r="H47" s="6">
        <f t="shared" si="0"/>
        <v>6</v>
      </c>
    </row>
    <row r="48" spans="1:8" ht="12" customHeight="1">
      <c r="A48" s="86"/>
      <c r="B48" s="4" t="s">
        <v>48</v>
      </c>
      <c r="C48" s="5" t="s">
        <v>103</v>
      </c>
      <c r="D48" s="2" t="s">
        <v>164</v>
      </c>
      <c r="E48" s="6">
        <f t="shared" si="0"/>
        <v>6</v>
      </c>
      <c r="F48" s="6">
        <f t="shared" si="0"/>
        <v>6</v>
      </c>
      <c r="G48" s="6">
        <f t="shared" si="0"/>
        <v>6</v>
      </c>
      <c r="H48" s="6">
        <f t="shared" si="0"/>
        <v>6</v>
      </c>
    </row>
    <row r="49" spans="1:8" ht="12" customHeight="1">
      <c r="A49" s="86"/>
      <c r="B49" s="4" t="s">
        <v>49</v>
      </c>
      <c r="C49" s="5" t="s">
        <v>103</v>
      </c>
      <c r="D49" s="2" t="s">
        <v>164</v>
      </c>
      <c r="E49" s="6">
        <f t="shared" si="0"/>
        <v>6</v>
      </c>
      <c r="F49" s="6">
        <f t="shared" si="0"/>
        <v>6</v>
      </c>
      <c r="G49" s="6">
        <f t="shared" si="0"/>
        <v>6</v>
      </c>
      <c r="H49" s="6">
        <f t="shared" si="0"/>
        <v>6</v>
      </c>
    </row>
    <row r="50" spans="1:8" ht="12" customHeight="1">
      <c r="A50" s="86"/>
      <c r="B50" s="4" t="s">
        <v>50</v>
      </c>
      <c r="C50" s="5" t="s">
        <v>103</v>
      </c>
      <c r="D50" s="2" t="s">
        <v>164</v>
      </c>
      <c r="E50" s="6">
        <f t="shared" si="0"/>
        <v>6</v>
      </c>
      <c r="F50" s="6">
        <f t="shared" si="0"/>
        <v>6</v>
      </c>
      <c r="G50" s="6">
        <f t="shared" si="0"/>
        <v>6</v>
      </c>
      <c r="H50" s="6">
        <f t="shared" si="0"/>
        <v>6</v>
      </c>
    </row>
    <row r="51" spans="1:8" ht="12" customHeight="1">
      <c r="A51" s="86"/>
      <c r="B51" s="4" t="s">
        <v>51</v>
      </c>
      <c r="C51" s="5" t="s">
        <v>103</v>
      </c>
      <c r="D51" s="2" t="s">
        <v>164</v>
      </c>
      <c r="E51" s="6">
        <f t="shared" si="0"/>
        <v>6</v>
      </c>
      <c r="F51" s="6">
        <f t="shared" si="0"/>
        <v>6</v>
      </c>
      <c r="G51" s="6">
        <f t="shared" si="0"/>
        <v>6</v>
      </c>
      <c r="H51" s="6">
        <f t="shared" si="0"/>
        <v>6</v>
      </c>
    </row>
    <row r="52" spans="1:8" ht="12" customHeight="1">
      <c r="A52" s="86"/>
      <c r="B52" s="4" t="s">
        <v>52</v>
      </c>
      <c r="C52" s="5" t="s">
        <v>103</v>
      </c>
      <c r="D52" s="2" t="s">
        <v>164</v>
      </c>
      <c r="E52" s="6">
        <f t="shared" si="0"/>
        <v>6</v>
      </c>
      <c r="F52" s="6">
        <f t="shared" si="0"/>
        <v>6</v>
      </c>
      <c r="G52" s="6">
        <f t="shared" si="0"/>
        <v>6</v>
      </c>
      <c r="H52" s="6">
        <f t="shared" si="0"/>
        <v>6</v>
      </c>
    </row>
    <row r="53" spans="1:8" ht="12" customHeight="1">
      <c r="A53" s="86"/>
      <c r="B53" s="4" t="s">
        <v>53</v>
      </c>
      <c r="C53" s="5" t="s">
        <v>103</v>
      </c>
      <c r="D53" s="2" t="s">
        <v>164</v>
      </c>
      <c r="E53" s="6">
        <f t="shared" si="0"/>
        <v>6</v>
      </c>
      <c r="F53" s="6">
        <f t="shared" si="0"/>
        <v>6</v>
      </c>
      <c r="G53" s="6">
        <f t="shared" si="0"/>
        <v>6</v>
      </c>
      <c r="H53" s="6">
        <f t="shared" si="0"/>
        <v>6</v>
      </c>
    </row>
    <row r="54" spans="1:8" ht="12" customHeight="1">
      <c r="A54" s="86"/>
      <c r="B54" s="4" t="s">
        <v>54</v>
      </c>
      <c r="C54" s="5" t="s">
        <v>103</v>
      </c>
      <c r="D54" s="2" t="s">
        <v>164</v>
      </c>
      <c r="E54" s="6">
        <f t="shared" si="0"/>
        <v>6</v>
      </c>
      <c r="F54" s="6">
        <f t="shared" si="0"/>
        <v>6</v>
      </c>
      <c r="G54" s="6">
        <f t="shared" si="0"/>
        <v>6</v>
      </c>
      <c r="H54" s="6">
        <f t="shared" si="0"/>
        <v>6</v>
      </c>
    </row>
    <row r="55" spans="1:8" ht="12" customHeight="1">
      <c r="A55" s="86"/>
      <c r="B55" s="4" t="s">
        <v>55</v>
      </c>
      <c r="C55" s="5" t="s">
        <v>103</v>
      </c>
      <c r="D55" s="2" t="s">
        <v>164</v>
      </c>
      <c r="E55" s="6">
        <f t="shared" si="0"/>
        <v>6</v>
      </c>
      <c r="F55" s="6">
        <f t="shared" si="0"/>
        <v>6</v>
      </c>
      <c r="G55" s="6">
        <f t="shared" si="0"/>
        <v>6</v>
      </c>
      <c r="H55" s="6">
        <f t="shared" si="0"/>
        <v>6</v>
      </c>
    </row>
    <row r="56" spans="1:8" ht="12" customHeight="1">
      <c r="A56" s="67" t="s">
        <v>93</v>
      </c>
      <c r="B56" s="4">
        <v>20</v>
      </c>
      <c r="C56" s="5" t="s">
        <v>103</v>
      </c>
      <c r="D56" s="2" t="s">
        <v>98</v>
      </c>
      <c r="E56" s="18">
        <f>IF(E$31="","",E$33+IF(E$21=0,0,20*LOG(E166/((E$31^2+E166^2)^0.5))))</f>
        <v>-0.00043427203503542365</v>
      </c>
      <c r="F56" s="54">
        <f>IF(F$31="","",F$33+IF(F$20=0,0,20*LOG(F100/((F$31^2+F100^2)^0.5)))+IF(F$21=0,0,20*LOG(F166/((F$31^2+F166^2)^0.5)))+$F$18-$E$18)</f>
        <v>0</v>
      </c>
      <c r="G56" s="54">
        <f>IF(G$31="","",G$33+IF(G$20=0,0,20*LOG(G100/((G$31^2+G100^2)^0.5)))+IF(G$21=0,0,20*LOG(G166/((G$31^2+G166^2)^0.5)))+$G$18-$E$18)</f>
        <v>-40.00044160869525</v>
      </c>
      <c r="H56" s="18">
        <f>IF(H$31="","",H$33+IF(H$20=0,0,20*LOG(H100/((H$31^2+H100^2)^0.5)))+$H$18-$E$18)</f>
        <v>0</v>
      </c>
    </row>
    <row r="57" spans="1:8" ht="12" customHeight="1">
      <c r="A57" s="68"/>
      <c r="B57" s="4">
        <v>30</v>
      </c>
      <c r="C57" s="5" t="s">
        <v>103</v>
      </c>
      <c r="D57" s="2" t="s">
        <v>98</v>
      </c>
      <c r="E57" s="18">
        <f aca="true" t="shared" si="1" ref="E57:E77">IF(E$31="","",E$33+IF(E$21=0,0,20*LOG(E167/((E$31^2+E167^2)^0.5))))</f>
        <v>-0.000977051019602396</v>
      </c>
      <c r="F57" s="54">
        <f aca="true" t="shared" si="2" ref="F57:F77">IF(F$31="","",F$33+IF(F$20=0,0,20*LOG(F101/((F$31^2+F101^2)^0.5)))+IF(F$21=0,0,20*LOG(F167/((F$31^2+F167^2)^0.5)))+$F$18-$E$18)</f>
        <v>0</v>
      </c>
      <c r="G57" s="54">
        <f aca="true" t="shared" si="3" ref="G57:G77">IF(G$31="","",G$33+IF(G$20=0,0,20*LOG(G101/((G$31^2+G101^2)^0.5)))+IF(G$21=0,0,20*LOG(G167/((G$31^2+G167^2)^0.5)))+$G$18-$E$18)</f>
        <v>-36.47915920656619</v>
      </c>
      <c r="H57" s="18">
        <f aca="true" t="shared" si="4" ref="H57:H77">IF(H$31="","",H$33+IF(H$20=0,0,20*LOG(H101/((H$31^2+H101^2)^0.5)))+$H$18-$E$18)</f>
        <v>0</v>
      </c>
    </row>
    <row r="58" spans="1:8" ht="12" customHeight="1">
      <c r="A58" s="68"/>
      <c r="B58" s="4">
        <v>40</v>
      </c>
      <c r="C58" s="5" t="s">
        <v>103</v>
      </c>
      <c r="D58" s="2" t="s">
        <v>98</v>
      </c>
      <c r="E58" s="18">
        <f t="shared" si="1"/>
        <v>-0.0017368276511601272</v>
      </c>
      <c r="F58" s="54">
        <f t="shared" si="2"/>
        <v>0</v>
      </c>
      <c r="G58" s="54">
        <f t="shared" si="3"/>
        <v>-33.98114425103175</v>
      </c>
      <c r="H58" s="18">
        <f t="shared" si="4"/>
        <v>0</v>
      </c>
    </row>
    <row r="59" spans="1:8" ht="12" customHeight="1">
      <c r="A59" s="68"/>
      <c r="B59" s="4">
        <v>50</v>
      </c>
      <c r="C59" s="5" t="s">
        <v>103</v>
      </c>
      <c r="D59" s="2" t="s">
        <v>98</v>
      </c>
      <c r="E59" s="18">
        <f t="shared" si="1"/>
        <v>-0.002713488051205884</v>
      </c>
      <c r="F59" s="54">
        <f t="shared" si="2"/>
        <v>0</v>
      </c>
      <c r="G59" s="54">
        <f t="shared" si="3"/>
        <v>-32.04392065127066</v>
      </c>
      <c r="H59" s="18">
        <f t="shared" si="4"/>
        <v>0</v>
      </c>
    </row>
    <row r="60" spans="1:8" ht="12" customHeight="1">
      <c r="A60" s="68"/>
      <c r="B60" s="4">
        <v>70</v>
      </c>
      <c r="C60" s="5" t="s">
        <v>103</v>
      </c>
      <c r="D60" s="2" t="s">
        <v>98</v>
      </c>
      <c r="E60" s="18">
        <f t="shared" si="1"/>
        <v>-0.005316842519845561</v>
      </c>
      <c r="F60" s="54">
        <f t="shared" si="2"/>
        <v>0</v>
      </c>
      <c r="G60" s="54">
        <f t="shared" si="3"/>
        <v>-29.123963292174544</v>
      </c>
      <c r="H60" s="18">
        <f t="shared" si="4"/>
        <v>0</v>
      </c>
    </row>
    <row r="61" spans="1:8" ht="12" customHeight="1">
      <c r="A61" s="68"/>
      <c r="B61" s="4">
        <v>100</v>
      </c>
      <c r="C61" s="5" t="s">
        <v>103</v>
      </c>
      <c r="D61" s="2" t="s">
        <v>98</v>
      </c>
      <c r="E61" s="18">
        <f t="shared" si="1"/>
        <v>-0.010843794626304174</v>
      </c>
      <c r="F61" s="54">
        <f t="shared" si="2"/>
        <v>0</v>
      </c>
      <c r="G61" s="54">
        <f t="shared" si="3"/>
        <v>-26.03145104456614</v>
      </c>
      <c r="H61" s="18">
        <f t="shared" si="4"/>
        <v>0</v>
      </c>
    </row>
    <row r="62" spans="1:8" ht="12" customHeight="1">
      <c r="A62" s="68"/>
      <c r="B62" s="4">
        <v>150</v>
      </c>
      <c r="C62" s="5" t="s">
        <v>103</v>
      </c>
      <c r="D62" s="2" t="s">
        <v>98</v>
      </c>
      <c r="E62" s="18">
        <f t="shared" si="1"/>
        <v>-0.024360573393207165</v>
      </c>
      <c r="F62" s="54">
        <f t="shared" si="2"/>
        <v>0</v>
      </c>
      <c r="G62" s="54">
        <f t="shared" si="3"/>
        <v>-22.523142642219426</v>
      </c>
      <c r="H62" s="18">
        <f t="shared" si="4"/>
        <v>0</v>
      </c>
    </row>
    <row r="63" spans="1:8" ht="12" customHeight="1">
      <c r="A63" s="68"/>
      <c r="B63" s="4">
        <v>200</v>
      </c>
      <c r="C63" s="5" t="s">
        <v>103</v>
      </c>
      <c r="D63" s="2" t="s">
        <v>98</v>
      </c>
      <c r="E63" s="18">
        <f t="shared" si="1"/>
        <v>-0.04321366518628605</v>
      </c>
      <c r="F63" s="54">
        <f t="shared" si="2"/>
        <v>0</v>
      </c>
      <c r="G63" s="54">
        <f t="shared" si="3"/>
        <v>-20.04322100184649</v>
      </c>
      <c r="H63" s="18">
        <f t="shared" si="4"/>
        <v>0</v>
      </c>
    </row>
    <row r="64" spans="1:8" ht="12" customHeight="1">
      <c r="A64" s="68"/>
      <c r="B64" s="4">
        <v>300</v>
      </c>
      <c r="C64" s="5" t="s">
        <v>103</v>
      </c>
      <c r="D64" s="2" t="s">
        <v>98</v>
      </c>
      <c r="E64" s="18">
        <f t="shared" si="1"/>
        <v>-0.09663300535152683</v>
      </c>
      <c r="F64" s="54">
        <f t="shared" si="2"/>
        <v>0</v>
      </c>
      <c r="G64" s="54">
        <f t="shared" si="3"/>
        <v>-16.574815160898112</v>
      </c>
      <c r="H64" s="18">
        <f t="shared" si="4"/>
        <v>0</v>
      </c>
    </row>
    <row r="65" spans="1:8" ht="12" customHeight="1">
      <c r="A65" s="68"/>
      <c r="B65" s="4">
        <v>400</v>
      </c>
      <c r="C65" s="5" t="s">
        <v>103</v>
      </c>
      <c r="D65" s="2" t="s">
        <v>98</v>
      </c>
      <c r="E65" s="18">
        <f t="shared" si="1"/>
        <v>-0.17033311080879368</v>
      </c>
      <c r="F65" s="54">
        <f t="shared" si="2"/>
        <v>0</v>
      </c>
      <c r="G65" s="54">
        <f t="shared" si="3"/>
        <v>-14.149740534189377</v>
      </c>
      <c r="H65" s="18">
        <f t="shared" si="4"/>
        <v>0</v>
      </c>
    </row>
    <row r="66" spans="1:8" ht="12" customHeight="1">
      <c r="A66" s="68"/>
      <c r="B66" s="4">
        <v>500</v>
      </c>
      <c r="C66" s="5" t="s">
        <v>103</v>
      </c>
      <c r="D66" s="2" t="s">
        <v>98</v>
      </c>
      <c r="E66" s="18">
        <f t="shared" si="1"/>
        <v>-0.2632889556555871</v>
      </c>
      <c r="F66" s="54">
        <f t="shared" si="2"/>
        <v>0</v>
      </c>
      <c r="G66" s="54">
        <f t="shared" si="3"/>
        <v>-12.30449611887505</v>
      </c>
      <c r="H66" s="18">
        <f t="shared" si="4"/>
        <v>0</v>
      </c>
    </row>
    <row r="67" spans="1:8" ht="12" customHeight="1">
      <c r="A67" s="68"/>
      <c r="B67" s="4">
        <v>700</v>
      </c>
      <c r="C67" s="5" t="s">
        <v>103</v>
      </c>
      <c r="D67" s="2" t="s">
        <v>98</v>
      </c>
      <c r="E67" s="18">
        <f t="shared" si="1"/>
        <v>-0.5018626960941875</v>
      </c>
      <c r="F67" s="54">
        <f t="shared" si="2"/>
        <v>0</v>
      </c>
      <c r="G67" s="54">
        <f t="shared" si="3"/>
        <v>-9.620509145748883</v>
      </c>
      <c r="H67" s="18">
        <f t="shared" si="4"/>
        <v>0</v>
      </c>
    </row>
    <row r="68" spans="1:8" ht="12" customHeight="1">
      <c r="A68" s="68"/>
      <c r="B68" s="4" t="s">
        <v>25</v>
      </c>
      <c r="C68" s="5" t="s">
        <v>103</v>
      </c>
      <c r="D68" s="2" t="s">
        <v>98</v>
      </c>
      <c r="E68" s="18">
        <f t="shared" si="1"/>
        <v>-0.9690986627495128</v>
      </c>
      <c r="F68" s="54">
        <f t="shared" si="2"/>
        <v>0</v>
      </c>
      <c r="G68" s="54">
        <f t="shared" si="3"/>
        <v>-6.989705912689345</v>
      </c>
      <c r="H68" s="18">
        <f t="shared" si="4"/>
        <v>0</v>
      </c>
    </row>
    <row r="69" spans="1:8" ht="12" customHeight="1">
      <c r="A69" s="68"/>
      <c r="B69" s="4" t="s">
        <v>26</v>
      </c>
      <c r="C69" s="5" t="s">
        <v>103</v>
      </c>
      <c r="D69" s="2" t="s">
        <v>98</v>
      </c>
      <c r="E69" s="18">
        <f t="shared" si="1"/>
        <v>-1.9381976189648795</v>
      </c>
      <c r="F69" s="54">
        <f t="shared" si="2"/>
        <v>0</v>
      </c>
      <c r="G69" s="54">
        <f t="shared" si="3"/>
        <v>-4.436979687791094</v>
      </c>
      <c r="H69" s="18">
        <f t="shared" si="4"/>
        <v>0</v>
      </c>
    </row>
    <row r="70" spans="1:8" ht="12" customHeight="1">
      <c r="A70" s="68"/>
      <c r="B70" s="4" t="s">
        <v>27</v>
      </c>
      <c r="C70" s="5" t="s">
        <v>103</v>
      </c>
      <c r="D70" s="2" t="s">
        <v>98</v>
      </c>
      <c r="E70" s="18">
        <f t="shared" si="1"/>
        <v>-3.010296288311255</v>
      </c>
      <c r="F70" s="54">
        <f t="shared" si="2"/>
        <v>0</v>
      </c>
      <c r="G70" s="54">
        <f t="shared" si="3"/>
        <v>-3.0103036249714705</v>
      </c>
      <c r="H70" s="18">
        <f t="shared" si="4"/>
        <v>0</v>
      </c>
    </row>
    <row r="71" spans="1:8" ht="12" customHeight="1">
      <c r="A71" s="68"/>
      <c r="B71" s="4" t="s">
        <v>28</v>
      </c>
      <c r="C71" s="5" t="s">
        <v>103</v>
      </c>
      <c r="D71" s="2" t="s">
        <v>98</v>
      </c>
      <c r="E71" s="18">
        <f t="shared" si="1"/>
        <v>-5.118828530563764</v>
      </c>
      <c r="F71" s="54">
        <f t="shared" si="2"/>
        <v>0</v>
      </c>
      <c r="G71" s="54">
        <f t="shared" si="3"/>
        <v>-1.5970106861103517</v>
      </c>
      <c r="H71" s="18">
        <f t="shared" si="4"/>
        <v>0</v>
      </c>
    </row>
    <row r="72" spans="1:8" ht="12" customHeight="1">
      <c r="A72" s="68"/>
      <c r="B72" s="4" t="s">
        <v>29</v>
      </c>
      <c r="C72" s="5" t="s">
        <v>103</v>
      </c>
      <c r="D72" s="2" t="s">
        <v>98</v>
      </c>
      <c r="E72" s="18">
        <f t="shared" si="1"/>
        <v>-6.9896941740330085</v>
      </c>
      <c r="F72" s="54">
        <f t="shared" si="2"/>
        <v>0</v>
      </c>
      <c r="G72" s="54">
        <f t="shared" si="3"/>
        <v>-0.9691015974135979</v>
      </c>
      <c r="H72" s="18">
        <f t="shared" si="4"/>
        <v>0</v>
      </c>
    </row>
    <row r="73" spans="1:8" ht="12" customHeight="1">
      <c r="A73" s="68"/>
      <c r="B73" s="4" t="s">
        <v>30</v>
      </c>
      <c r="C73" s="5" t="s">
        <v>103</v>
      </c>
      <c r="D73" s="2" t="s">
        <v>98</v>
      </c>
      <c r="E73" s="18">
        <f t="shared" si="1"/>
        <v>-8.603373741003594</v>
      </c>
      <c r="F73" s="54">
        <f t="shared" si="2"/>
        <v>0</v>
      </c>
      <c r="G73" s="54">
        <f t="shared" si="3"/>
        <v>-0.6445809042230479</v>
      </c>
      <c r="H73" s="18">
        <f t="shared" si="4"/>
        <v>0</v>
      </c>
    </row>
    <row r="74" spans="1:8" ht="12" customHeight="1">
      <c r="A74" s="68"/>
      <c r="B74" s="4" t="s">
        <v>31</v>
      </c>
      <c r="C74" s="5" t="s">
        <v>103</v>
      </c>
      <c r="D74" s="2" t="s">
        <v>98</v>
      </c>
      <c r="E74" s="18">
        <f t="shared" si="1"/>
        <v>-11.222151999778692</v>
      </c>
      <c r="F74" s="54">
        <f t="shared" si="2"/>
        <v>0</v>
      </c>
      <c r="G74" s="54">
        <f t="shared" si="3"/>
        <v>-0.3407984494333931</v>
      </c>
      <c r="H74" s="18">
        <f t="shared" si="4"/>
        <v>0</v>
      </c>
    </row>
    <row r="75" spans="1:8" ht="12" customHeight="1">
      <c r="A75" s="68"/>
      <c r="B75" s="4" t="s">
        <v>32</v>
      </c>
      <c r="C75" s="5" t="s">
        <v>103</v>
      </c>
      <c r="D75" s="2" t="s">
        <v>98</v>
      </c>
      <c r="E75" s="18">
        <f t="shared" si="1"/>
        <v>-14.149726425227435</v>
      </c>
      <c r="F75" s="54">
        <f t="shared" si="2"/>
        <v>0</v>
      </c>
      <c r="G75" s="54">
        <f t="shared" si="3"/>
        <v>-0.17033367516727083</v>
      </c>
      <c r="H75" s="18">
        <f t="shared" si="4"/>
        <v>0</v>
      </c>
    </row>
    <row r="76" spans="1:8" ht="12" customHeight="1">
      <c r="A76" s="68"/>
      <c r="B76" s="4" t="s">
        <v>33</v>
      </c>
      <c r="C76" s="5" t="s">
        <v>103</v>
      </c>
      <c r="D76" s="2" t="s">
        <v>98</v>
      </c>
      <c r="E76" s="18">
        <f t="shared" si="1"/>
        <v>-17.57774770161042</v>
      </c>
      <c r="F76" s="54">
        <f t="shared" si="2"/>
        <v>0</v>
      </c>
      <c r="G76" s="54">
        <f t="shared" si="3"/>
        <v>-0.07652977043663611</v>
      </c>
      <c r="H76" s="18">
        <f t="shared" si="4"/>
        <v>0</v>
      </c>
    </row>
    <row r="77" spans="1:8" ht="12" customHeight="1">
      <c r="A77" s="69"/>
      <c r="B77" s="4" t="s">
        <v>34</v>
      </c>
      <c r="C77" s="5" t="s">
        <v>103</v>
      </c>
      <c r="D77" s="2" t="s">
        <v>98</v>
      </c>
      <c r="E77" s="18">
        <f t="shared" si="1"/>
        <v>-20.043206473806478</v>
      </c>
      <c r="F77" s="54">
        <f t="shared" si="2"/>
        <v>0</v>
      </c>
      <c r="G77" s="54">
        <f t="shared" si="3"/>
        <v>-0.043213810466681934</v>
      </c>
      <c r="H77" s="18">
        <f t="shared" si="4"/>
        <v>0</v>
      </c>
    </row>
    <row r="78" spans="1:8" ht="12" customHeight="1">
      <c r="A78" s="67" t="s">
        <v>94</v>
      </c>
      <c r="B78" s="4">
        <v>20</v>
      </c>
      <c r="C78" s="5" t="s">
        <v>103</v>
      </c>
      <c r="D78" s="2" t="s">
        <v>97</v>
      </c>
      <c r="E78" s="37">
        <f>IF(E144="",0,180/PI()*ATAN(-E144/E$31))+IF(E$19=1,180,0)</f>
        <v>-0.5729382137751311</v>
      </c>
      <c r="F78" s="37">
        <f>IF(F122="",0,180/PI()*ATAN(F122/F$31))+IF(F144="",0,180/PI()*ATAN(-F144/F$31))+IF(F$19=1,180,0)</f>
        <v>0</v>
      </c>
      <c r="G78" s="37">
        <f>IF(G122="",0,180/PI()*ATAN(G122/G$31))+IF(G144="",0,180/PI()*ATAN(-G144/G$31))+IF(G$19=1,-180,0)</f>
        <v>-90.57293821377512</v>
      </c>
      <c r="H78" s="37">
        <f>IF(H122="",0,180/PI()*ATAN(H122/H$31))+IF(H$19=1,-180,0)</f>
        <v>0</v>
      </c>
    </row>
    <row r="79" spans="1:8" ht="12" customHeight="1">
      <c r="A79" s="68"/>
      <c r="B79" s="4">
        <v>30</v>
      </c>
      <c r="C79" s="5" t="s">
        <v>103</v>
      </c>
      <c r="D79" s="2" t="s">
        <v>97</v>
      </c>
      <c r="E79" s="37">
        <f>IF(E145="",0,180/PI()*ATAN(-E145/E$31))+IF(E$19=1,180,0)</f>
        <v>-0.8593715178728608</v>
      </c>
      <c r="F79" s="37">
        <f aca="true" t="shared" si="5" ref="F79:F99">IF(F123="",0,180/PI()*ATAN(F123/F$31))+IF(F145="",0,180/PI()*ATAN(-F145/F$31))+IF(F$19=1,180,0)</f>
        <v>0</v>
      </c>
      <c r="G79" s="37">
        <f aca="true" t="shared" si="6" ref="G79:G99">IF(G123="",0,180/PI()*ATAN(G123/G$31))+IF(G145="",0,180/PI()*ATAN(-G145/G$31))+IF(G$19=1,-180,0)</f>
        <v>-90.85937151787286</v>
      </c>
      <c r="H79" s="37">
        <f aca="true" t="shared" si="7" ref="H79:H99">IF(H123="",0,180/PI()*ATAN(H123/H$31))+IF(H$19=1,-180,0)</f>
        <v>0</v>
      </c>
    </row>
    <row r="80" spans="1:8" ht="12" customHeight="1">
      <c r="A80" s="68"/>
      <c r="B80" s="4">
        <v>40</v>
      </c>
      <c r="C80" s="5" t="s">
        <v>103</v>
      </c>
      <c r="D80" s="2" t="s">
        <v>97</v>
      </c>
      <c r="E80" s="37">
        <f aca="true" t="shared" si="8" ref="E80:E99">IF(E146="",0,180/PI()*ATAN(-E146/E$31))+IF(E$19=1,180,0)</f>
        <v>-1.1457618706486223</v>
      </c>
      <c r="F80" s="37">
        <f t="shared" si="5"/>
        <v>0</v>
      </c>
      <c r="G80" s="37">
        <f t="shared" si="6"/>
        <v>-91.14576187064861</v>
      </c>
      <c r="H80" s="37">
        <f t="shared" si="7"/>
        <v>0</v>
      </c>
    </row>
    <row r="81" spans="1:8" ht="12" customHeight="1">
      <c r="A81" s="68"/>
      <c r="B81" s="4">
        <v>50</v>
      </c>
      <c r="C81" s="5" t="s">
        <v>103</v>
      </c>
      <c r="D81" s="2" t="s">
        <v>97</v>
      </c>
      <c r="E81" s="37">
        <f t="shared" si="8"/>
        <v>-1.432094975028492</v>
      </c>
      <c r="F81" s="37">
        <f t="shared" si="5"/>
        <v>0</v>
      </c>
      <c r="G81" s="37">
        <f t="shared" si="6"/>
        <v>-91.43209497502849</v>
      </c>
      <c r="H81" s="37">
        <f t="shared" si="7"/>
        <v>0</v>
      </c>
    </row>
    <row r="82" spans="1:8" ht="12" customHeight="1">
      <c r="A82" s="68"/>
      <c r="B82" s="4">
        <v>70</v>
      </c>
      <c r="C82" s="5" t="s">
        <v>103</v>
      </c>
      <c r="D82" s="2" t="s">
        <v>97</v>
      </c>
      <c r="E82" s="37">
        <f t="shared" si="8"/>
        <v>-2.0045323403297184</v>
      </c>
      <c r="F82" s="37">
        <f t="shared" si="5"/>
        <v>0</v>
      </c>
      <c r="G82" s="37">
        <f t="shared" si="6"/>
        <v>-92.00453234032972</v>
      </c>
      <c r="H82" s="37">
        <f t="shared" si="7"/>
        <v>0</v>
      </c>
    </row>
    <row r="83" spans="1:8" ht="12" customHeight="1">
      <c r="A83" s="68"/>
      <c r="B83" s="4">
        <v>100</v>
      </c>
      <c r="C83" s="5" t="s">
        <v>103</v>
      </c>
      <c r="D83" s="2" t="s">
        <v>97</v>
      </c>
      <c r="E83" s="37">
        <f t="shared" si="8"/>
        <v>-2.862402812362388</v>
      </c>
      <c r="F83" s="37">
        <f t="shared" si="5"/>
        <v>0</v>
      </c>
      <c r="G83" s="37">
        <f t="shared" si="6"/>
        <v>-92.86240281236239</v>
      </c>
      <c r="H83" s="37">
        <f t="shared" si="7"/>
        <v>0</v>
      </c>
    </row>
    <row r="84" spans="1:8" ht="12" customHeight="1">
      <c r="A84" s="68"/>
      <c r="B84" s="4">
        <v>150</v>
      </c>
      <c r="C84" s="5" t="s">
        <v>103</v>
      </c>
      <c r="D84" s="2" t="s">
        <v>97</v>
      </c>
      <c r="E84" s="37">
        <f t="shared" si="8"/>
        <v>-4.289149719446131</v>
      </c>
      <c r="F84" s="37">
        <f t="shared" si="5"/>
        <v>0</v>
      </c>
      <c r="G84" s="37">
        <f t="shared" si="6"/>
        <v>-94.28914971944613</v>
      </c>
      <c r="H84" s="37">
        <f t="shared" si="7"/>
        <v>0</v>
      </c>
    </row>
    <row r="85" spans="1:8" ht="12" customHeight="1">
      <c r="A85" s="68"/>
      <c r="B85" s="4">
        <v>200</v>
      </c>
      <c r="C85" s="5" t="s">
        <v>103</v>
      </c>
      <c r="D85" s="2" t="s">
        <v>97</v>
      </c>
      <c r="E85" s="37">
        <f t="shared" si="8"/>
        <v>-5.710588345848657</v>
      </c>
      <c r="F85" s="37">
        <f t="shared" si="5"/>
        <v>0</v>
      </c>
      <c r="G85" s="37">
        <f t="shared" si="6"/>
        <v>-95.71058834584865</v>
      </c>
      <c r="H85" s="37">
        <f t="shared" si="7"/>
        <v>0</v>
      </c>
    </row>
    <row r="86" spans="1:8" ht="12" customHeight="1">
      <c r="A86" s="68"/>
      <c r="B86" s="4">
        <v>300</v>
      </c>
      <c r="C86" s="5" t="s">
        <v>103</v>
      </c>
      <c r="D86" s="2" t="s">
        <v>97</v>
      </c>
      <c r="E86" s="37">
        <f t="shared" si="8"/>
        <v>-8.530758510338039</v>
      </c>
      <c r="F86" s="37">
        <f t="shared" si="5"/>
        <v>0</v>
      </c>
      <c r="G86" s="37">
        <f t="shared" si="6"/>
        <v>-98.53075851033803</v>
      </c>
      <c r="H86" s="37">
        <f t="shared" si="7"/>
        <v>0</v>
      </c>
    </row>
    <row r="87" spans="1:8" ht="12" customHeight="1">
      <c r="A87" s="68"/>
      <c r="B87" s="4">
        <v>400</v>
      </c>
      <c r="C87" s="5" t="s">
        <v>103</v>
      </c>
      <c r="D87" s="2" t="s">
        <v>97</v>
      </c>
      <c r="E87" s="37">
        <f t="shared" si="8"/>
        <v>-11.309923167159418</v>
      </c>
      <c r="F87" s="37">
        <f t="shared" si="5"/>
        <v>0</v>
      </c>
      <c r="G87" s="37">
        <f t="shared" si="6"/>
        <v>-101.30992316715941</v>
      </c>
      <c r="H87" s="37">
        <f t="shared" si="7"/>
        <v>0</v>
      </c>
    </row>
    <row r="88" spans="1:8" ht="12" customHeight="1">
      <c r="A88" s="68"/>
      <c r="B88" s="4">
        <v>500</v>
      </c>
      <c r="C88" s="5" t="s">
        <v>103</v>
      </c>
      <c r="D88" s="2" t="s">
        <v>97</v>
      </c>
      <c r="E88" s="37">
        <f t="shared" si="8"/>
        <v>-14.036232080708366</v>
      </c>
      <c r="F88" s="37">
        <f t="shared" si="5"/>
        <v>0</v>
      </c>
      <c r="G88" s="37">
        <f t="shared" si="6"/>
        <v>-104.03623208070836</v>
      </c>
      <c r="H88" s="37">
        <f t="shared" si="7"/>
        <v>0</v>
      </c>
    </row>
    <row r="89" spans="1:8" ht="12" customHeight="1">
      <c r="A89" s="68"/>
      <c r="B89" s="4">
        <v>700</v>
      </c>
      <c r="C89" s="5" t="s">
        <v>103</v>
      </c>
      <c r="D89" s="2" t="s">
        <v>97</v>
      </c>
      <c r="E89" s="37">
        <f t="shared" si="8"/>
        <v>-19.290031129222</v>
      </c>
      <c r="F89" s="37">
        <f t="shared" si="5"/>
        <v>0</v>
      </c>
      <c r="G89" s="37">
        <f t="shared" si="6"/>
        <v>-109.290031129222</v>
      </c>
      <c r="H89" s="37">
        <f t="shared" si="7"/>
        <v>0</v>
      </c>
    </row>
    <row r="90" spans="1:8" ht="12" customHeight="1">
      <c r="A90" s="68"/>
      <c r="B90" s="4" t="s">
        <v>5</v>
      </c>
      <c r="C90" s="5" t="s">
        <v>103</v>
      </c>
      <c r="D90" s="2" t="s">
        <v>97</v>
      </c>
      <c r="E90" s="37">
        <f t="shared" si="8"/>
        <v>-26.56503181880489</v>
      </c>
      <c r="F90" s="37">
        <f t="shared" si="5"/>
        <v>0</v>
      </c>
      <c r="G90" s="37">
        <f t="shared" si="6"/>
        <v>-116.56503181880488</v>
      </c>
      <c r="H90" s="37">
        <f t="shared" si="7"/>
        <v>0</v>
      </c>
    </row>
    <row r="91" spans="1:8" ht="12" customHeight="1">
      <c r="A91" s="68"/>
      <c r="B91" s="4" t="s">
        <v>6</v>
      </c>
      <c r="C91" s="5" t="s">
        <v>103</v>
      </c>
      <c r="D91" s="2" t="s">
        <v>97</v>
      </c>
      <c r="E91" s="37">
        <f t="shared" si="8"/>
        <v>-36.869874415913166</v>
      </c>
      <c r="F91" s="37">
        <f t="shared" si="5"/>
        <v>0</v>
      </c>
      <c r="G91" s="37">
        <f t="shared" si="6"/>
        <v>-126.86987441591316</v>
      </c>
      <c r="H91" s="37">
        <f t="shared" si="7"/>
        <v>0</v>
      </c>
    </row>
    <row r="92" spans="1:8" ht="12" customHeight="1">
      <c r="A92" s="68"/>
      <c r="B92" s="4" t="s">
        <v>7</v>
      </c>
      <c r="C92" s="5" t="s">
        <v>103</v>
      </c>
      <c r="D92" s="2" t="s">
        <v>97</v>
      </c>
      <c r="E92" s="37">
        <f t="shared" si="8"/>
        <v>-44.9999758021525</v>
      </c>
      <c r="F92" s="37">
        <f t="shared" si="5"/>
        <v>0</v>
      </c>
      <c r="G92" s="37">
        <f t="shared" si="6"/>
        <v>-134.99997580215248</v>
      </c>
      <c r="H92" s="37">
        <f t="shared" si="7"/>
        <v>0</v>
      </c>
    </row>
    <row r="93" spans="1:8" ht="12" customHeight="1">
      <c r="A93" s="68"/>
      <c r="B93" s="4" t="s">
        <v>8</v>
      </c>
      <c r="C93" s="5" t="s">
        <v>103</v>
      </c>
      <c r="D93" s="2" t="s">
        <v>97</v>
      </c>
      <c r="E93" s="37">
        <f t="shared" si="8"/>
        <v>-56.30991013754197</v>
      </c>
      <c r="F93" s="37">
        <f t="shared" si="5"/>
        <v>0</v>
      </c>
      <c r="G93" s="37">
        <f t="shared" si="6"/>
        <v>-146.30991013754195</v>
      </c>
      <c r="H93" s="37">
        <f t="shared" si="7"/>
        <v>0</v>
      </c>
    </row>
    <row r="94" spans="1:8" ht="12" customHeight="1">
      <c r="A94" s="68"/>
      <c r="B94" s="4" t="s">
        <v>9</v>
      </c>
      <c r="C94" s="5" t="s">
        <v>103</v>
      </c>
      <c r="D94" s="2" t="s">
        <v>97</v>
      </c>
      <c r="E94" s="37">
        <f t="shared" si="8"/>
        <v>-63.434929464639104</v>
      </c>
      <c r="F94" s="37">
        <f t="shared" si="5"/>
        <v>0</v>
      </c>
      <c r="G94" s="37">
        <f t="shared" si="6"/>
        <v>-153.43492946463908</v>
      </c>
      <c r="H94" s="37">
        <f t="shared" si="7"/>
        <v>0</v>
      </c>
    </row>
    <row r="95" spans="1:8" ht="12" customHeight="1">
      <c r="A95" s="68"/>
      <c r="B95" s="4" t="s">
        <v>10</v>
      </c>
      <c r="C95" s="5" t="s">
        <v>103</v>
      </c>
      <c r="D95" s="2" t="s">
        <v>97</v>
      </c>
      <c r="E95" s="37">
        <f t="shared" si="8"/>
        <v>-68.1985738254724</v>
      </c>
      <c r="F95" s="37">
        <f t="shared" si="5"/>
        <v>0</v>
      </c>
      <c r="G95" s="37">
        <f t="shared" si="6"/>
        <v>-158.19857382547238</v>
      </c>
      <c r="H95" s="37">
        <f t="shared" si="7"/>
        <v>0</v>
      </c>
    </row>
    <row r="96" spans="1:8" ht="12" customHeight="1">
      <c r="A96" s="68"/>
      <c r="B96" s="4" t="s">
        <v>11</v>
      </c>
      <c r="C96" s="5" t="s">
        <v>103</v>
      </c>
      <c r="D96" s="2" t="s">
        <v>97</v>
      </c>
      <c r="E96" s="37">
        <f t="shared" si="8"/>
        <v>-74.05459131530407</v>
      </c>
      <c r="F96" s="37">
        <f t="shared" si="5"/>
        <v>0</v>
      </c>
      <c r="G96" s="37">
        <f t="shared" si="6"/>
        <v>-164.05459131530407</v>
      </c>
      <c r="H96" s="37">
        <f t="shared" si="7"/>
        <v>0</v>
      </c>
    </row>
    <row r="97" spans="1:8" ht="12" customHeight="1">
      <c r="A97" s="68"/>
      <c r="B97" s="4" t="s">
        <v>12</v>
      </c>
      <c r="C97" s="5" t="s">
        <v>103</v>
      </c>
      <c r="D97" s="2" t="s">
        <v>97</v>
      </c>
      <c r="E97" s="37">
        <f t="shared" si="8"/>
        <v>-78.69005821911173</v>
      </c>
      <c r="F97" s="37">
        <f t="shared" si="5"/>
        <v>0</v>
      </c>
      <c r="G97" s="37">
        <f t="shared" si="6"/>
        <v>-168.69005821911173</v>
      </c>
      <c r="H97" s="37">
        <f t="shared" si="7"/>
        <v>0</v>
      </c>
    </row>
    <row r="98" spans="1:8" ht="12" customHeight="1">
      <c r="A98" s="68"/>
      <c r="B98" s="4" t="s">
        <v>13</v>
      </c>
      <c r="C98" s="5" t="s">
        <v>103</v>
      </c>
      <c r="D98" s="2" t="s">
        <v>97</v>
      </c>
      <c r="E98" s="37">
        <f t="shared" si="8"/>
        <v>-82.40535029135859</v>
      </c>
      <c r="F98" s="37">
        <f t="shared" si="5"/>
        <v>0</v>
      </c>
      <c r="G98" s="37">
        <f t="shared" si="6"/>
        <v>-172.4053502913586</v>
      </c>
      <c r="H98" s="37">
        <f t="shared" si="7"/>
        <v>0</v>
      </c>
    </row>
    <row r="99" spans="1:8" ht="12" customHeight="1">
      <c r="A99" s="69"/>
      <c r="B99" s="4" t="s">
        <v>14</v>
      </c>
      <c r="C99" s="5" t="s">
        <v>103</v>
      </c>
      <c r="D99" s="2" t="s">
        <v>97</v>
      </c>
      <c r="E99" s="37">
        <f t="shared" si="8"/>
        <v>-84.28940207084541</v>
      </c>
      <c r="F99" s="37">
        <f t="shared" si="5"/>
        <v>0</v>
      </c>
      <c r="G99" s="37">
        <f t="shared" si="6"/>
        <v>-174.2894020708454</v>
      </c>
      <c r="H99" s="37">
        <f t="shared" si="7"/>
        <v>0</v>
      </c>
    </row>
    <row r="100" spans="1:8" ht="12" customHeight="1">
      <c r="A100" s="67" t="s">
        <v>165</v>
      </c>
      <c r="B100" s="4">
        <v>20</v>
      </c>
      <c r="C100" s="5" t="s">
        <v>103</v>
      </c>
      <c r="D100" s="2" t="s">
        <v>164</v>
      </c>
      <c r="E100" s="6">
        <f aca="true" t="shared" si="9" ref="E100:H121">IF(E$22="","",2*3.14159*$B100*E$22*0.001)</f>
      </c>
      <c r="F100" s="6">
        <f t="shared" si="9"/>
      </c>
      <c r="G100" s="6">
        <f t="shared" si="9"/>
        <v>0.059999949320168104</v>
      </c>
      <c r="H100" s="6">
        <f t="shared" si="9"/>
      </c>
    </row>
    <row r="101" spans="1:8" ht="12" customHeight="1">
      <c r="A101" s="68"/>
      <c r="B101" s="4">
        <v>30</v>
      </c>
      <c r="C101" s="5" t="s">
        <v>103</v>
      </c>
      <c r="D101" s="2" t="s">
        <v>164</v>
      </c>
      <c r="E101" s="6">
        <f t="shared" si="9"/>
      </c>
      <c r="F101" s="6">
        <f t="shared" si="9"/>
      </c>
      <c r="G101" s="6">
        <f t="shared" si="9"/>
        <v>0.08999992398025215</v>
      </c>
      <c r="H101" s="6">
        <f t="shared" si="9"/>
      </c>
    </row>
    <row r="102" spans="1:8" ht="12" customHeight="1">
      <c r="A102" s="68"/>
      <c r="B102" s="4">
        <v>40</v>
      </c>
      <c r="C102" s="5" t="s">
        <v>103</v>
      </c>
      <c r="D102" s="2" t="s">
        <v>164</v>
      </c>
      <c r="E102" s="6">
        <f t="shared" si="9"/>
      </c>
      <c r="F102" s="6">
        <f t="shared" si="9"/>
      </c>
      <c r="G102" s="6">
        <f t="shared" si="9"/>
        <v>0.11999989864033621</v>
      </c>
      <c r="H102" s="6">
        <f t="shared" si="9"/>
      </c>
    </row>
    <row r="103" spans="1:8" ht="12" customHeight="1">
      <c r="A103" s="68"/>
      <c r="B103" s="4">
        <v>50</v>
      </c>
      <c r="C103" s="5" t="s">
        <v>103</v>
      </c>
      <c r="D103" s="2" t="s">
        <v>164</v>
      </c>
      <c r="E103" s="6">
        <f t="shared" si="9"/>
      </c>
      <c r="F103" s="6">
        <f t="shared" si="9"/>
      </c>
      <c r="G103" s="6">
        <f t="shared" si="9"/>
        <v>0.14999987330042028</v>
      </c>
      <c r="H103" s="6">
        <f t="shared" si="9"/>
      </c>
    </row>
    <row r="104" spans="1:8" ht="12" customHeight="1">
      <c r="A104" s="68"/>
      <c r="B104" s="4">
        <v>70</v>
      </c>
      <c r="C104" s="5" t="s">
        <v>103</v>
      </c>
      <c r="D104" s="2" t="s">
        <v>164</v>
      </c>
      <c r="E104" s="6">
        <f t="shared" si="9"/>
      </c>
      <c r="F104" s="6">
        <f t="shared" si="9"/>
      </c>
      <c r="G104" s="6">
        <f t="shared" si="9"/>
        <v>0.20999982262058833</v>
      </c>
      <c r="H104" s="6">
        <f t="shared" si="9"/>
      </c>
    </row>
    <row r="105" spans="1:8" ht="12" customHeight="1">
      <c r="A105" s="68"/>
      <c r="B105" s="4">
        <v>100</v>
      </c>
      <c r="C105" s="5" t="s">
        <v>103</v>
      </c>
      <c r="D105" s="2" t="s">
        <v>164</v>
      </c>
      <c r="E105" s="6">
        <f t="shared" si="9"/>
      </c>
      <c r="F105" s="6">
        <f t="shared" si="9"/>
      </c>
      <c r="G105" s="6">
        <f t="shared" si="9"/>
        <v>0.29999974660084056</v>
      </c>
      <c r="H105" s="6">
        <f t="shared" si="9"/>
      </c>
    </row>
    <row r="106" spans="1:8" ht="12" customHeight="1">
      <c r="A106" s="68"/>
      <c r="B106" s="4">
        <v>150</v>
      </c>
      <c r="C106" s="5" t="s">
        <v>103</v>
      </c>
      <c r="D106" s="2" t="s">
        <v>164</v>
      </c>
      <c r="E106" s="6">
        <f t="shared" si="9"/>
      </c>
      <c r="F106" s="6">
        <f t="shared" si="9"/>
      </c>
      <c r="G106" s="6">
        <f t="shared" si="9"/>
        <v>0.44999961990126075</v>
      </c>
      <c r="H106" s="6">
        <f t="shared" si="9"/>
      </c>
    </row>
    <row r="107" spans="1:8" ht="12" customHeight="1">
      <c r="A107" s="68"/>
      <c r="B107" s="4">
        <v>200</v>
      </c>
      <c r="C107" s="5" t="s">
        <v>103</v>
      </c>
      <c r="D107" s="2" t="s">
        <v>164</v>
      </c>
      <c r="E107" s="6">
        <f t="shared" si="9"/>
      </c>
      <c r="F107" s="6">
        <f t="shared" si="9"/>
      </c>
      <c r="G107" s="6">
        <f t="shared" si="9"/>
        <v>0.5999994932016811</v>
      </c>
      <c r="H107" s="6">
        <f t="shared" si="9"/>
      </c>
    </row>
    <row r="108" spans="1:8" ht="12" customHeight="1">
      <c r="A108" s="68"/>
      <c r="B108" s="4">
        <v>300</v>
      </c>
      <c r="C108" s="5" t="s">
        <v>103</v>
      </c>
      <c r="D108" s="2" t="s">
        <v>164</v>
      </c>
      <c r="E108" s="6">
        <f t="shared" si="9"/>
      </c>
      <c r="F108" s="6">
        <f t="shared" si="9"/>
      </c>
      <c r="G108" s="6">
        <f t="shared" si="9"/>
        <v>0.8999992398025215</v>
      </c>
      <c r="H108" s="6">
        <f t="shared" si="9"/>
      </c>
    </row>
    <row r="109" spans="1:8" ht="12" customHeight="1">
      <c r="A109" s="68"/>
      <c r="B109" s="4">
        <v>400</v>
      </c>
      <c r="C109" s="5" t="s">
        <v>103</v>
      </c>
      <c r="D109" s="2" t="s">
        <v>164</v>
      </c>
      <c r="E109" s="6">
        <f t="shared" si="9"/>
      </c>
      <c r="F109" s="6">
        <f t="shared" si="9"/>
      </c>
      <c r="G109" s="6">
        <f t="shared" si="9"/>
        <v>1.1999989864033622</v>
      </c>
      <c r="H109" s="6">
        <f t="shared" si="9"/>
      </c>
    </row>
    <row r="110" spans="1:8" ht="12" customHeight="1">
      <c r="A110" s="68"/>
      <c r="B110" s="4">
        <v>500</v>
      </c>
      <c r="C110" s="5" t="s">
        <v>103</v>
      </c>
      <c r="D110" s="2" t="s">
        <v>164</v>
      </c>
      <c r="E110" s="6">
        <f t="shared" si="9"/>
      </c>
      <c r="F110" s="6">
        <f t="shared" si="9"/>
      </c>
      <c r="G110" s="6">
        <f t="shared" si="9"/>
        <v>1.4999987330042024</v>
      </c>
      <c r="H110" s="6">
        <f t="shared" si="9"/>
      </c>
    </row>
    <row r="111" spans="1:8" ht="12" customHeight="1">
      <c r="A111" s="68"/>
      <c r="B111" s="4">
        <v>700</v>
      </c>
      <c r="C111" s="5" t="s">
        <v>103</v>
      </c>
      <c r="D111" s="2" t="s">
        <v>164</v>
      </c>
      <c r="E111" s="6">
        <f t="shared" si="9"/>
      </c>
      <c r="F111" s="6">
        <f t="shared" si="9"/>
      </c>
      <c r="G111" s="6">
        <f t="shared" si="9"/>
        <v>2.0999982262058836</v>
      </c>
      <c r="H111" s="6">
        <f t="shared" si="9"/>
      </c>
    </row>
    <row r="112" spans="1:8" ht="12" customHeight="1">
      <c r="A112" s="68"/>
      <c r="B112" s="4">
        <v>1000</v>
      </c>
      <c r="C112" s="5" t="s">
        <v>103</v>
      </c>
      <c r="D112" s="2" t="s">
        <v>164</v>
      </c>
      <c r="E112" s="6">
        <f t="shared" si="9"/>
      </c>
      <c r="F112" s="6">
        <f t="shared" si="9"/>
      </c>
      <c r="G112" s="6">
        <f t="shared" si="9"/>
        <v>2.999997466008405</v>
      </c>
      <c r="H112" s="6">
        <f t="shared" si="9"/>
      </c>
    </row>
    <row r="113" spans="1:8" ht="12" customHeight="1">
      <c r="A113" s="68"/>
      <c r="B113" s="4">
        <v>1500</v>
      </c>
      <c r="C113" s="5" t="s">
        <v>103</v>
      </c>
      <c r="D113" s="2" t="s">
        <v>164</v>
      </c>
      <c r="E113" s="6">
        <f t="shared" si="9"/>
      </c>
      <c r="F113" s="6">
        <f t="shared" si="9"/>
      </c>
      <c r="G113" s="6">
        <f t="shared" si="9"/>
        <v>4.499996199012608</v>
      </c>
      <c r="H113" s="6">
        <f t="shared" si="9"/>
      </c>
    </row>
    <row r="114" spans="1:8" ht="12" customHeight="1">
      <c r="A114" s="68"/>
      <c r="B114" s="4">
        <v>2000</v>
      </c>
      <c r="C114" s="5" t="s">
        <v>103</v>
      </c>
      <c r="D114" s="2" t="s">
        <v>164</v>
      </c>
      <c r="E114" s="6">
        <f t="shared" si="9"/>
      </c>
      <c r="F114" s="6">
        <f t="shared" si="9"/>
      </c>
      <c r="G114" s="6">
        <f t="shared" si="9"/>
        <v>5.99999493201681</v>
      </c>
      <c r="H114" s="6">
        <f t="shared" si="9"/>
      </c>
    </row>
    <row r="115" spans="1:8" ht="12" customHeight="1">
      <c r="A115" s="68"/>
      <c r="B115" s="4">
        <v>3000</v>
      </c>
      <c r="C115" s="5" t="s">
        <v>103</v>
      </c>
      <c r="D115" s="2" t="s">
        <v>164</v>
      </c>
      <c r="E115" s="6">
        <f t="shared" si="9"/>
      </c>
      <c r="F115" s="6">
        <f t="shared" si="9"/>
      </c>
      <c r="G115" s="6">
        <f t="shared" si="9"/>
        <v>8.999992398025215</v>
      </c>
      <c r="H115" s="6">
        <f t="shared" si="9"/>
      </c>
    </row>
    <row r="116" spans="1:8" ht="12" customHeight="1">
      <c r="A116" s="68"/>
      <c r="B116" s="4">
        <v>4000</v>
      </c>
      <c r="C116" s="5" t="s">
        <v>103</v>
      </c>
      <c r="D116" s="2" t="s">
        <v>164</v>
      </c>
      <c r="E116" s="6">
        <f t="shared" si="9"/>
      </c>
      <c r="F116" s="6">
        <f t="shared" si="9"/>
      </c>
      <c r="G116" s="6">
        <f t="shared" si="9"/>
        <v>11.99998986403362</v>
      </c>
      <c r="H116" s="6">
        <f t="shared" si="9"/>
      </c>
    </row>
    <row r="117" spans="1:8" ht="12" customHeight="1">
      <c r="A117" s="68"/>
      <c r="B117" s="4">
        <v>5000</v>
      </c>
      <c r="C117" s="5" t="s">
        <v>103</v>
      </c>
      <c r="D117" s="2" t="s">
        <v>164</v>
      </c>
      <c r="E117" s="6">
        <f t="shared" si="9"/>
      </c>
      <c r="F117" s="6">
        <f t="shared" si="9"/>
      </c>
      <c r="G117" s="6">
        <f t="shared" si="9"/>
        <v>14.999987330042025</v>
      </c>
      <c r="H117" s="6">
        <f t="shared" si="9"/>
      </c>
    </row>
    <row r="118" spans="1:8" ht="12" customHeight="1">
      <c r="A118" s="68"/>
      <c r="B118" s="4">
        <v>7000</v>
      </c>
      <c r="C118" s="5" t="s">
        <v>103</v>
      </c>
      <c r="D118" s="2" t="s">
        <v>164</v>
      </c>
      <c r="E118" s="6">
        <f t="shared" si="9"/>
      </c>
      <c r="F118" s="6">
        <f t="shared" si="9"/>
      </c>
      <c r="G118" s="6">
        <f t="shared" si="9"/>
        <v>20.999982262058836</v>
      </c>
      <c r="H118" s="6">
        <f t="shared" si="9"/>
      </c>
    </row>
    <row r="119" spans="1:8" ht="12" customHeight="1">
      <c r="A119" s="68"/>
      <c r="B119" s="4">
        <v>10000</v>
      </c>
      <c r="C119" s="5" t="s">
        <v>103</v>
      </c>
      <c r="D119" s="2" t="s">
        <v>164</v>
      </c>
      <c r="E119" s="6">
        <f t="shared" si="9"/>
      </c>
      <c r="F119" s="6">
        <f t="shared" si="9"/>
      </c>
      <c r="G119" s="6">
        <f t="shared" si="9"/>
        <v>29.99997466008405</v>
      </c>
      <c r="H119" s="6">
        <f t="shared" si="9"/>
      </c>
    </row>
    <row r="120" spans="1:8" ht="12" customHeight="1">
      <c r="A120" s="68"/>
      <c r="B120" s="4">
        <v>15000</v>
      </c>
      <c r="C120" s="5" t="s">
        <v>103</v>
      </c>
      <c r="D120" s="2" t="s">
        <v>164</v>
      </c>
      <c r="E120" s="6">
        <f t="shared" si="9"/>
      </c>
      <c r="F120" s="6">
        <f t="shared" si="9"/>
      </c>
      <c r="G120" s="6">
        <f t="shared" si="9"/>
        <v>44.999961990126074</v>
      </c>
      <c r="H120" s="6">
        <f t="shared" si="9"/>
      </c>
    </row>
    <row r="121" spans="1:8" ht="12" customHeight="1">
      <c r="A121" s="69"/>
      <c r="B121" s="4">
        <v>20000</v>
      </c>
      <c r="C121" s="5" t="s">
        <v>103</v>
      </c>
      <c r="D121" s="2" t="s">
        <v>164</v>
      </c>
      <c r="E121" s="6">
        <f t="shared" si="9"/>
      </c>
      <c r="F121" s="6">
        <f t="shared" si="9"/>
      </c>
      <c r="G121" s="6">
        <f t="shared" si="9"/>
        <v>59.9999493201681</v>
      </c>
      <c r="H121" s="6">
        <f t="shared" si="9"/>
      </c>
    </row>
    <row r="122" spans="1:8" ht="12" customHeight="1">
      <c r="A122" s="67" t="s">
        <v>166</v>
      </c>
      <c r="B122" s="4">
        <v>20</v>
      </c>
      <c r="C122" s="5" t="s">
        <v>103</v>
      </c>
      <c r="D122" s="2" t="s">
        <v>164</v>
      </c>
      <c r="E122" s="6">
        <f aca="true" t="shared" si="10" ref="E122:H143">IF(E$23="","",1/(2*3.14159*$B100*E$23/1000000))</f>
      </c>
      <c r="F122" s="6">
        <f t="shared" si="10"/>
      </c>
      <c r="G122" s="6">
        <f t="shared" si="10"/>
        <v>600.0005067987471</v>
      </c>
      <c r="H122" s="6">
        <f t="shared" si="10"/>
      </c>
    </row>
    <row r="123" spans="1:8" ht="12" customHeight="1">
      <c r="A123" s="68"/>
      <c r="B123" s="4">
        <v>30</v>
      </c>
      <c r="C123" s="5" t="s">
        <v>103</v>
      </c>
      <c r="D123" s="2" t="s">
        <v>164</v>
      </c>
      <c r="E123" s="6">
        <f t="shared" si="10"/>
      </c>
      <c r="F123" s="6">
        <f t="shared" si="10"/>
      </c>
      <c r="G123" s="6">
        <f t="shared" si="10"/>
        <v>400.0003378658314</v>
      </c>
      <c r="H123" s="6">
        <f t="shared" si="10"/>
      </c>
    </row>
    <row r="124" spans="1:8" ht="12" customHeight="1">
      <c r="A124" s="68"/>
      <c r="B124" s="4">
        <v>40</v>
      </c>
      <c r="C124" s="5" t="s">
        <v>103</v>
      </c>
      <c r="D124" s="2" t="s">
        <v>164</v>
      </c>
      <c r="E124" s="6">
        <f t="shared" si="10"/>
      </c>
      <c r="F124" s="6">
        <f t="shared" si="10"/>
      </c>
      <c r="G124" s="6">
        <f t="shared" si="10"/>
        <v>300.00025339937355</v>
      </c>
      <c r="H124" s="6">
        <f t="shared" si="10"/>
      </c>
    </row>
    <row r="125" spans="1:8" ht="12" customHeight="1">
      <c r="A125" s="68"/>
      <c r="B125" s="4">
        <v>50</v>
      </c>
      <c r="C125" s="5" t="s">
        <v>103</v>
      </c>
      <c r="D125" s="2" t="s">
        <v>164</v>
      </c>
      <c r="E125" s="6">
        <f t="shared" si="10"/>
      </c>
      <c r="F125" s="6">
        <f t="shared" si="10"/>
      </c>
      <c r="G125" s="6">
        <f t="shared" si="10"/>
        <v>240.00020271949882</v>
      </c>
      <c r="H125" s="6">
        <f t="shared" si="10"/>
      </c>
    </row>
    <row r="126" spans="1:8" ht="12" customHeight="1">
      <c r="A126" s="68"/>
      <c r="B126" s="4">
        <v>70</v>
      </c>
      <c r="C126" s="5" t="s">
        <v>103</v>
      </c>
      <c r="D126" s="2" t="s">
        <v>164</v>
      </c>
      <c r="E126" s="6">
        <f t="shared" si="10"/>
      </c>
      <c r="F126" s="6">
        <f t="shared" si="10"/>
      </c>
      <c r="G126" s="6">
        <f t="shared" si="10"/>
        <v>171.4287162282135</v>
      </c>
      <c r="H126" s="6">
        <f t="shared" si="10"/>
      </c>
    </row>
    <row r="127" spans="1:8" ht="12" customHeight="1">
      <c r="A127" s="68"/>
      <c r="B127" s="4">
        <v>100</v>
      </c>
      <c r="C127" s="5" t="s">
        <v>103</v>
      </c>
      <c r="D127" s="2" t="s">
        <v>164</v>
      </c>
      <c r="E127" s="6">
        <f t="shared" si="10"/>
      </c>
      <c r="F127" s="6">
        <f t="shared" si="10"/>
      </c>
      <c r="G127" s="6">
        <f t="shared" si="10"/>
        <v>120.00010135974941</v>
      </c>
      <c r="H127" s="6">
        <f t="shared" si="10"/>
      </c>
    </row>
    <row r="128" spans="1:8" ht="12" customHeight="1">
      <c r="A128" s="68"/>
      <c r="B128" s="4">
        <v>150</v>
      </c>
      <c r="C128" s="5" t="s">
        <v>103</v>
      </c>
      <c r="D128" s="2" t="s">
        <v>164</v>
      </c>
      <c r="E128" s="6">
        <f t="shared" si="10"/>
      </c>
      <c r="F128" s="6">
        <f t="shared" si="10"/>
      </c>
      <c r="G128" s="6">
        <f t="shared" si="10"/>
        <v>80.00006757316628</v>
      </c>
      <c r="H128" s="6">
        <f t="shared" si="10"/>
      </c>
    </row>
    <row r="129" spans="1:8" ht="12" customHeight="1">
      <c r="A129" s="68"/>
      <c r="B129" s="4">
        <v>200</v>
      </c>
      <c r="C129" s="5" t="s">
        <v>103</v>
      </c>
      <c r="D129" s="2" t="s">
        <v>164</v>
      </c>
      <c r="E129" s="6">
        <f t="shared" si="10"/>
      </c>
      <c r="F129" s="6">
        <f t="shared" si="10"/>
      </c>
      <c r="G129" s="6">
        <f t="shared" si="10"/>
        <v>60.000050679874704</v>
      </c>
      <c r="H129" s="6">
        <f t="shared" si="10"/>
      </c>
    </row>
    <row r="130" spans="1:8" ht="12" customHeight="1">
      <c r="A130" s="68"/>
      <c r="B130" s="4">
        <v>300</v>
      </c>
      <c r="C130" s="5" t="s">
        <v>103</v>
      </c>
      <c r="D130" s="2" t="s">
        <v>164</v>
      </c>
      <c r="E130" s="6">
        <f t="shared" si="10"/>
      </c>
      <c r="F130" s="6">
        <f t="shared" si="10"/>
      </c>
      <c r="G130" s="6">
        <f t="shared" si="10"/>
        <v>40.00003378658314</v>
      </c>
      <c r="H130" s="6">
        <f t="shared" si="10"/>
      </c>
    </row>
    <row r="131" spans="1:8" ht="12" customHeight="1">
      <c r="A131" s="68"/>
      <c r="B131" s="4">
        <v>400</v>
      </c>
      <c r="C131" s="5" t="s">
        <v>103</v>
      </c>
      <c r="D131" s="2" t="s">
        <v>164</v>
      </c>
      <c r="E131" s="6">
        <f t="shared" si="10"/>
      </c>
      <c r="F131" s="6">
        <f t="shared" si="10"/>
      </c>
      <c r="G131" s="6">
        <f t="shared" si="10"/>
        <v>30.000025339937352</v>
      </c>
      <c r="H131" s="6">
        <f t="shared" si="10"/>
      </c>
    </row>
    <row r="132" spans="1:8" ht="12" customHeight="1">
      <c r="A132" s="68"/>
      <c r="B132" s="4">
        <v>500</v>
      </c>
      <c r="C132" s="5" t="s">
        <v>103</v>
      </c>
      <c r="D132" s="2" t="s">
        <v>164</v>
      </c>
      <c r="E132" s="6">
        <f t="shared" si="10"/>
      </c>
      <c r="F132" s="6">
        <f t="shared" si="10"/>
      </c>
      <c r="G132" s="6">
        <f t="shared" si="10"/>
        <v>24.00002027194989</v>
      </c>
      <c r="H132" s="6">
        <f t="shared" si="10"/>
      </c>
    </row>
    <row r="133" spans="1:8" ht="12" customHeight="1">
      <c r="A133" s="68"/>
      <c r="B133" s="4">
        <v>700</v>
      </c>
      <c r="C133" s="5" t="s">
        <v>103</v>
      </c>
      <c r="D133" s="2" t="s">
        <v>164</v>
      </c>
      <c r="E133" s="6">
        <f t="shared" si="10"/>
      </c>
      <c r="F133" s="6">
        <f t="shared" si="10"/>
      </c>
      <c r="G133" s="6">
        <f t="shared" si="10"/>
        <v>17.142871622821346</v>
      </c>
      <c r="H133" s="6">
        <f t="shared" si="10"/>
      </c>
    </row>
    <row r="134" spans="1:8" ht="12" customHeight="1">
      <c r="A134" s="68"/>
      <c r="B134" s="4" t="s">
        <v>35</v>
      </c>
      <c r="C134" s="5" t="s">
        <v>103</v>
      </c>
      <c r="D134" s="2" t="s">
        <v>164</v>
      </c>
      <c r="E134" s="6">
        <f t="shared" si="10"/>
      </c>
      <c r="F134" s="6">
        <f t="shared" si="10"/>
      </c>
      <c r="G134" s="6">
        <f t="shared" si="10"/>
        <v>12.000010135974945</v>
      </c>
      <c r="H134" s="6">
        <f t="shared" si="10"/>
      </c>
    </row>
    <row r="135" spans="1:8" ht="12" customHeight="1">
      <c r="A135" s="68"/>
      <c r="B135" s="4" t="s">
        <v>36</v>
      </c>
      <c r="C135" s="5" t="s">
        <v>103</v>
      </c>
      <c r="D135" s="2" t="s">
        <v>164</v>
      </c>
      <c r="E135" s="6">
        <f t="shared" si="10"/>
      </c>
      <c r="F135" s="6">
        <f t="shared" si="10"/>
      </c>
      <c r="G135" s="6">
        <f t="shared" si="10"/>
        <v>8.000006757316628</v>
      </c>
      <c r="H135" s="6">
        <f t="shared" si="10"/>
      </c>
    </row>
    <row r="136" spans="1:8" ht="12" customHeight="1">
      <c r="A136" s="68"/>
      <c r="B136" s="4" t="s">
        <v>37</v>
      </c>
      <c r="C136" s="5" t="s">
        <v>103</v>
      </c>
      <c r="D136" s="2" t="s">
        <v>164</v>
      </c>
      <c r="E136" s="6">
        <f t="shared" si="10"/>
      </c>
      <c r="F136" s="6">
        <f t="shared" si="10"/>
      </c>
      <c r="G136" s="6">
        <f t="shared" si="10"/>
        <v>6.000005067987472</v>
      </c>
      <c r="H136" s="6">
        <f t="shared" si="10"/>
      </c>
    </row>
    <row r="137" spans="1:8" ht="12" customHeight="1">
      <c r="A137" s="68"/>
      <c r="B137" s="4" t="s">
        <v>38</v>
      </c>
      <c r="C137" s="5" t="s">
        <v>103</v>
      </c>
      <c r="D137" s="2" t="s">
        <v>164</v>
      </c>
      <c r="E137" s="6">
        <f t="shared" si="10"/>
      </c>
      <c r="F137" s="6">
        <f t="shared" si="10"/>
      </c>
      <c r="G137" s="6">
        <f t="shared" si="10"/>
        <v>4.000003378658314</v>
      </c>
      <c r="H137" s="6">
        <f t="shared" si="10"/>
      </c>
    </row>
    <row r="138" spans="1:8" ht="12" customHeight="1">
      <c r="A138" s="68"/>
      <c r="B138" s="4" t="s">
        <v>39</v>
      </c>
      <c r="C138" s="5" t="s">
        <v>103</v>
      </c>
      <c r="D138" s="2" t="s">
        <v>164</v>
      </c>
      <c r="E138" s="6">
        <f t="shared" si="10"/>
      </c>
      <c r="F138" s="6">
        <f t="shared" si="10"/>
      </c>
      <c r="G138" s="6">
        <f t="shared" si="10"/>
        <v>3.000002533993736</v>
      </c>
      <c r="H138" s="6">
        <f t="shared" si="10"/>
      </c>
    </row>
    <row r="139" spans="1:8" ht="12" customHeight="1">
      <c r="A139" s="68"/>
      <c r="B139" s="4" t="s">
        <v>40</v>
      </c>
      <c r="C139" s="5" t="s">
        <v>103</v>
      </c>
      <c r="D139" s="2" t="s">
        <v>164</v>
      </c>
      <c r="E139" s="6">
        <f t="shared" si="10"/>
      </c>
      <c r="F139" s="6">
        <f t="shared" si="10"/>
      </c>
      <c r="G139" s="6">
        <f t="shared" si="10"/>
        <v>2.4000020271949887</v>
      </c>
      <c r="H139" s="6">
        <f t="shared" si="10"/>
      </c>
    </row>
    <row r="140" spans="1:8" ht="12" customHeight="1">
      <c r="A140" s="68"/>
      <c r="B140" s="4" t="s">
        <v>41</v>
      </c>
      <c r="C140" s="5" t="s">
        <v>103</v>
      </c>
      <c r="D140" s="2" t="s">
        <v>164</v>
      </c>
      <c r="E140" s="6">
        <f t="shared" si="10"/>
      </c>
      <c r="F140" s="6">
        <f t="shared" si="10"/>
      </c>
      <c r="G140" s="6">
        <f t="shared" si="10"/>
        <v>1.7142871622821347</v>
      </c>
      <c r="H140" s="6">
        <f t="shared" si="10"/>
      </c>
    </row>
    <row r="141" spans="1:8" ht="12" customHeight="1">
      <c r="A141" s="68"/>
      <c r="B141" s="4" t="s">
        <v>42</v>
      </c>
      <c r="C141" s="5" t="s">
        <v>103</v>
      </c>
      <c r="D141" s="2" t="s">
        <v>164</v>
      </c>
      <c r="E141" s="6">
        <f t="shared" si="10"/>
      </c>
      <c r="F141" s="6">
        <f t="shared" si="10"/>
      </c>
      <c r="G141" s="6">
        <f t="shared" si="10"/>
        <v>1.2000010135974943</v>
      </c>
      <c r="H141" s="6">
        <f t="shared" si="10"/>
      </c>
    </row>
    <row r="142" spans="1:8" ht="12" customHeight="1">
      <c r="A142" s="68"/>
      <c r="B142" s="4" t="s">
        <v>43</v>
      </c>
      <c r="C142" s="5" t="s">
        <v>103</v>
      </c>
      <c r="D142" s="2" t="s">
        <v>164</v>
      </c>
      <c r="E142" s="6">
        <f t="shared" si="10"/>
      </c>
      <c r="F142" s="6">
        <f t="shared" si="10"/>
      </c>
      <c r="G142" s="6">
        <f t="shared" si="10"/>
        <v>0.8000006757316627</v>
      </c>
      <c r="H142" s="6">
        <f t="shared" si="10"/>
      </c>
    </row>
    <row r="143" spans="1:8" ht="12" customHeight="1">
      <c r="A143" s="69"/>
      <c r="B143" s="4" t="s">
        <v>44</v>
      </c>
      <c r="C143" s="5" t="s">
        <v>103</v>
      </c>
      <c r="D143" s="2" t="s">
        <v>164</v>
      </c>
      <c r="E143" s="6">
        <f t="shared" si="10"/>
      </c>
      <c r="F143" s="6">
        <f t="shared" si="10"/>
      </c>
      <c r="G143" s="6">
        <f t="shared" si="10"/>
        <v>0.6000005067987472</v>
      </c>
      <c r="H143" s="6">
        <f t="shared" si="10"/>
      </c>
    </row>
    <row r="144" spans="1:8" ht="12" customHeight="1">
      <c r="A144" s="67" t="s">
        <v>167</v>
      </c>
      <c r="B144" s="4">
        <v>20</v>
      </c>
      <c r="C144" s="5" t="s">
        <v>103</v>
      </c>
      <c r="D144" s="2" t="s">
        <v>164</v>
      </c>
      <c r="E144" s="6">
        <f aca="true" t="shared" si="11" ref="E144:H165">IF(E$24="","",2*3.14159*$B100*E$24*0.001)</f>
        <v>0.059999949320168104</v>
      </c>
      <c r="F144" s="6">
        <f t="shared" si="11"/>
      </c>
      <c r="G144" s="6">
        <f t="shared" si="11"/>
      </c>
      <c r="H144" s="6">
        <f t="shared" si="11"/>
      </c>
    </row>
    <row r="145" spans="1:8" ht="12" customHeight="1">
      <c r="A145" s="68"/>
      <c r="B145" s="4">
        <v>30</v>
      </c>
      <c r="C145" s="5" t="s">
        <v>103</v>
      </c>
      <c r="D145" s="2" t="s">
        <v>164</v>
      </c>
      <c r="E145" s="6">
        <f t="shared" si="11"/>
        <v>0.08999992398025215</v>
      </c>
      <c r="F145" s="6">
        <f t="shared" si="11"/>
      </c>
      <c r="G145" s="6">
        <f t="shared" si="11"/>
      </c>
      <c r="H145" s="6">
        <f t="shared" si="11"/>
      </c>
    </row>
    <row r="146" spans="1:8" ht="12" customHeight="1">
      <c r="A146" s="68"/>
      <c r="B146" s="4">
        <v>40</v>
      </c>
      <c r="C146" s="5" t="s">
        <v>103</v>
      </c>
      <c r="D146" s="2" t="s">
        <v>164</v>
      </c>
      <c r="E146" s="6">
        <f t="shared" si="11"/>
        <v>0.11999989864033621</v>
      </c>
      <c r="F146" s="6">
        <f t="shared" si="11"/>
      </c>
      <c r="G146" s="6">
        <f t="shared" si="11"/>
      </c>
      <c r="H146" s="6">
        <f t="shared" si="11"/>
      </c>
    </row>
    <row r="147" spans="1:8" ht="12" customHeight="1">
      <c r="A147" s="68"/>
      <c r="B147" s="4">
        <v>50</v>
      </c>
      <c r="C147" s="5" t="s">
        <v>103</v>
      </c>
      <c r="D147" s="2" t="s">
        <v>164</v>
      </c>
      <c r="E147" s="6">
        <f t="shared" si="11"/>
        <v>0.14999987330042028</v>
      </c>
      <c r="F147" s="6">
        <f t="shared" si="11"/>
      </c>
      <c r="G147" s="6">
        <f t="shared" si="11"/>
      </c>
      <c r="H147" s="6">
        <f t="shared" si="11"/>
      </c>
    </row>
    <row r="148" spans="1:8" ht="12" customHeight="1">
      <c r="A148" s="68"/>
      <c r="B148" s="4">
        <v>70</v>
      </c>
      <c r="C148" s="5" t="s">
        <v>103</v>
      </c>
      <c r="D148" s="2" t="s">
        <v>164</v>
      </c>
      <c r="E148" s="6">
        <f t="shared" si="11"/>
        <v>0.20999982262058833</v>
      </c>
      <c r="F148" s="6">
        <f t="shared" si="11"/>
      </c>
      <c r="G148" s="6">
        <f t="shared" si="11"/>
      </c>
      <c r="H148" s="6">
        <f t="shared" si="11"/>
      </c>
    </row>
    <row r="149" spans="1:8" ht="12" customHeight="1">
      <c r="A149" s="68"/>
      <c r="B149" s="4">
        <v>100</v>
      </c>
      <c r="C149" s="5" t="s">
        <v>103</v>
      </c>
      <c r="D149" s="2" t="s">
        <v>164</v>
      </c>
      <c r="E149" s="6">
        <f t="shared" si="11"/>
        <v>0.29999974660084056</v>
      </c>
      <c r="F149" s="6">
        <f t="shared" si="11"/>
      </c>
      <c r="G149" s="6">
        <f t="shared" si="11"/>
      </c>
      <c r="H149" s="6">
        <f t="shared" si="11"/>
      </c>
    </row>
    <row r="150" spans="1:8" ht="12" customHeight="1">
      <c r="A150" s="68"/>
      <c r="B150" s="4">
        <v>150</v>
      </c>
      <c r="C150" s="5" t="s">
        <v>103</v>
      </c>
      <c r="D150" s="2" t="s">
        <v>164</v>
      </c>
      <c r="E150" s="6">
        <f t="shared" si="11"/>
        <v>0.44999961990126075</v>
      </c>
      <c r="F150" s="6">
        <f t="shared" si="11"/>
      </c>
      <c r="G150" s="6">
        <f t="shared" si="11"/>
      </c>
      <c r="H150" s="6">
        <f t="shared" si="11"/>
      </c>
    </row>
    <row r="151" spans="1:8" ht="12" customHeight="1">
      <c r="A151" s="68"/>
      <c r="B151" s="4">
        <v>200</v>
      </c>
      <c r="C151" s="5" t="s">
        <v>103</v>
      </c>
      <c r="D151" s="2" t="s">
        <v>164</v>
      </c>
      <c r="E151" s="6">
        <f t="shared" si="11"/>
        <v>0.5999994932016811</v>
      </c>
      <c r="F151" s="6">
        <f t="shared" si="11"/>
      </c>
      <c r="G151" s="6">
        <f t="shared" si="11"/>
      </c>
      <c r="H151" s="6">
        <f t="shared" si="11"/>
      </c>
    </row>
    <row r="152" spans="1:8" ht="12" customHeight="1">
      <c r="A152" s="68"/>
      <c r="B152" s="4">
        <v>300</v>
      </c>
      <c r="C152" s="5" t="s">
        <v>103</v>
      </c>
      <c r="D152" s="2" t="s">
        <v>164</v>
      </c>
      <c r="E152" s="6">
        <f t="shared" si="11"/>
        <v>0.8999992398025215</v>
      </c>
      <c r="F152" s="6">
        <f t="shared" si="11"/>
      </c>
      <c r="G152" s="6">
        <f t="shared" si="11"/>
      </c>
      <c r="H152" s="6">
        <f t="shared" si="11"/>
      </c>
    </row>
    <row r="153" spans="1:8" ht="12" customHeight="1">
      <c r="A153" s="68"/>
      <c r="B153" s="4">
        <v>400</v>
      </c>
      <c r="C153" s="5" t="s">
        <v>103</v>
      </c>
      <c r="D153" s="2" t="s">
        <v>164</v>
      </c>
      <c r="E153" s="6">
        <f t="shared" si="11"/>
        <v>1.1999989864033622</v>
      </c>
      <c r="F153" s="6">
        <f t="shared" si="11"/>
      </c>
      <c r="G153" s="6">
        <f t="shared" si="11"/>
      </c>
      <c r="H153" s="6">
        <f t="shared" si="11"/>
      </c>
    </row>
    <row r="154" spans="1:8" ht="12" customHeight="1">
      <c r="A154" s="68"/>
      <c r="B154" s="4">
        <v>500</v>
      </c>
      <c r="C154" s="5" t="s">
        <v>103</v>
      </c>
      <c r="D154" s="2" t="s">
        <v>164</v>
      </c>
      <c r="E154" s="6">
        <f t="shared" si="11"/>
        <v>1.4999987330042024</v>
      </c>
      <c r="F154" s="6">
        <f t="shared" si="11"/>
      </c>
      <c r="G154" s="6">
        <f t="shared" si="11"/>
      </c>
      <c r="H154" s="6">
        <f t="shared" si="11"/>
      </c>
    </row>
    <row r="155" spans="1:8" ht="12" customHeight="1">
      <c r="A155" s="68"/>
      <c r="B155" s="4">
        <v>700</v>
      </c>
      <c r="C155" s="5" t="s">
        <v>103</v>
      </c>
      <c r="D155" s="2" t="s">
        <v>164</v>
      </c>
      <c r="E155" s="6">
        <f t="shared" si="11"/>
        <v>2.0999982262058836</v>
      </c>
      <c r="F155" s="6">
        <f t="shared" si="11"/>
      </c>
      <c r="G155" s="6">
        <f t="shared" si="11"/>
      </c>
      <c r="H155" s="6">
        <f t="shared" si="11"/>
      </c>
    </row>
    <row r="156" spans="1:8" ht="12" customHeight="1">
      <c r="A156" s="68"/>
      <c r="B156" s="4" t="s">
        <v>35</v>
      </c>
      <c r="C156" s="5" t="s">
        <v>103</v>
      </c>
      <c r="D156" s="2" t="s">
        <v>164</v>
      </c>
      <c r="E156" s="6">
        <f t="shared" si="11"/>
        <v>2.999997466008405</v>
      </c>
      <c r="F156" s="6">
        <f t="shared" si="11"/>
      </c>
      <c r="G156" s="6">
        <f t="shared" si="11"/>
      </c>
      <c r="H156" s="6">
        <f t="shared" si="11"/>
      </c>
    </row>
    <row r="157" spans="1:8" ht="12" customHeight="1">
      <c r="A157" s="68"/>
      <c r="B157" s="4" t="s">
        <v>36</v>
      </c>
      <c r="C157" s="5" t="s">
        <v>103</v>
      </c>
      <c r="D157" s="2" t="s">
        <v>164</v>
      </c>
      <c r="E157" s="6">
        <f t="shared" si="11"/>
        <v>4.499996199012608</v>
      </c>
      <c r="F157" s="6">
        <f t="shared" si="11"/>
      </c>
      <c r="G157" s="6">
        <f t="shared" si="11"/>
      </c>
      <c r="H157" s="6">
        <f t="shared" si="11"/>
      </c>
    </row>
    <row r="158" spans="1:8" ht="12" customHeight="1">
      <c r="A158" s="68"/>
      <c r="B158" s="4" t="s">
        <v>37</v>
      </c>
      <c r="C158" s="5" t="s">
        <v>103</v>
      </c>
      <c r="D158" s="2" t="s">
        <v>164</v>
      </c>
      <c r="E158" s="6">
        <f t="shared" si="11"/>
        <v>5.99999493201681</v>
      </c>
      <c r="F158" s="6">
        <f t="shared" si="11"/>
      </c>
      <c r="G158" s="6">
        <f t="shared" si="11"/>
      </c>
      <c r="H158" s="6">
        <f t="shared" si="11"/>
      </c>
    </row>
    <row r="159" spans="1:8" ht="12" customHeight="1">
      <c r="A159" s="68"/>
      <c r="B159" s="4" t="s">
        <v>38</v>
      </c>
      <c r="C159" s="5" t="s">
        <v>103</v>
      </c>
      <c r="D159" s="2" t="s">
        <v>164</v>
      </c>
      <c r="E159" s="6">
        <f t="shared" si="11"/>
        <v>8.999992398025215</v>
      </c>
      <c r="F159" s="6">
        <f t="shared" si="11"/>
      </c>
      <c r="G159" s="6">
        <f t="shared" si="11"/>
      </c>
      <c r="H159" s="6">
        <f t="shared" si="11"/>
      </c>
    </row>
    <row r="160" spans="1:8" ht="12" customHeight="1">
      <c r="A160" s="68"/>
      <c r="B160" s="4" t="s">
        <v>39</v>
      </c>
      <c r="C160" s="5" t="s">
        <v>103</v>
      </c>
      <c r="D160" s="2" t="s">
        <v>164</v>
      </c>
      <c r="E160" s="6">
        <f t="shared" si="11"/>
        <v>11.99998986403362</v>
      </c>
      <c r="F160" s="6">
        <f t="shared" si="11"/>
      </c>
      <c r="G160" s="6">
        <f t="shared" si="11"/>
      </c>
      <c r="H160" s="6">
        <f t="shared" si="11"/>
      </c>
    </row>
    <row r="161" spans="1:8" ht="12" customHeight="1">
      <c r="A161" s="68"/>
      <c r="B161" s="4" t="s">
        <v>40</v>
      </c>
      <c r="C161" s="5" t="s">
        <v>103</v>
      </c>
      <c r="D161" s="2" t="s">
        <v>164</v>
      </c>
      <c r="E161" s="6">
        <f t="shared" si="11"/>
        <v>14.999987330042025</v>
      </c>
      <c r="F161" s="6">
        <f t="shared" si="11"/>
      </c>
      <c r="G161" s="6">
        <f t="shared" si="11"/>
      </c>
      <c r="H161" s="6">
        <f t="shared" si="11"/>
      </c>
    </row>
    <row r="162" spans="1:8" ht="12" customHeight="1">
      <c r="A162" s="68"/>
      <c r="B162" s="4" t="s">
        <v>41</v>
      </c>
      <c r="C162" s="5" t="s">
        <v>103</v>
      </c>
      <c r="D162" s="2" t="s">
        <v>164</v>
      </c>
      <c r="E162" s="6">
        <f t="shared" si="11"/>
        <v>20.999982262058836</v>
      </c>
      <c r="F162" s="6">
        <f t="shared" si="11"/>
      </c>
      <c r="G162" s="6">
        <f t="shared" si="11"/>
      </c>
      <c r="H162" s="6">
        <f t="shared" si="11"/>
      </c>
    </row>
    <row r="163" spans="1:8" ht="12" customHeight="1">
      <c r="A163" s="68"/>
      <c r="B163" s="4" t="s">
        <v>42</v>
      </c>
      <c r="C163" s="5" t="s">
        <v>103</v>
      </c>
      <c r="D163" s="2" t="s">
        <v>164</v>
      </c>
      <c r="E163" s="6">
        <f t="shared" si="11"/>
        <v>29.99997466008405</v>
      </c>
      <c r="F163" s="6">
        <f t="shared" si="11"/>
      </c>
      <c r="G163" s="6">
        <f t="shared" si="11"/>
      </c>
      <c r="H163" s="6">
        <f t="shared" si="11"/>
      </c>
    </row>
    <row r="164" spans="1:8" ht="12" customHeight="1">
      <c r="A164" s="68"/>
      <c r="B164" s="4" t="s">
        <v>43</v>
      </c>
      <c r="C164" s="5" t="s">
        <v>103</v>
      </c>
      <c r="D164" s="2" t="s">
        <v>164</v>
      </c>
      <c r="E164" s="6">
        <f t="shared" si="11"/>
        <v>44.999961990126074</v>
      </c>
      <c r="F164" s="6">
        <f t="shared" si="11"/>
      </c>
      <c r="G164" s="6">
        <f t="shared" si="11"/>
      </c>
      <c r="H164" s="6">
        <f t="shared" si="11"/>
      </c>
    </row>
    <row r="165" spans="1:8" ht="12" customHeight="1">
      <c r="A165" s="69"/>
      <c r="B165" s="4" t="s">
        <v>44</v>
      </c>
      <c r="C165" s="5" t="s">
        <v>103</v>
      </c>
      <c r="D165" s="2" t="s">
        <v>164</v>
      </c>
      <c r="E165" s="6">
        <f t="shared" si="11"/>
        <v>59.9999493201681</v>
      </c>
      <c r="F165" s="6">
        <f t="shared" si="11"/>
      </c>
      <c r="G165" s="6">
        <f t="shared" si="11"/>
      </c>
      <c r="H165" s="6">
        <f t="shared" si="11"/>
      </c>
    </row>
    <row r="166" spans="1:8" ht="12" customHeight="1">
      <c r="A166" s="67" t="s">
        <v>168</v>
      </c>
      <c r="B166" s="4">
        <v>20</v>
      </c>
      <c r="C166" s="5" t="s">
        <v>103</v>
      </c>
      <c r="D166" s="2" t="s">
        <v>164</v>
      </c>
      <c r="E166" s="6">
        <f aca="true" t="shared" si="12" ref="E166:H187">IF(E$25="","",1/(2*3.14159*$B100*E$25/1000000))</f>
        <v>600.0005067987471</v>
      </c>
      <c r="F166" s="6">
        <f t="shared" si="12"/>
      </c>
      <c r="G166" s="6">
        <f t="shared" si="12"/>
      </c>
      <c r="H166" s="6">
        <f t="shared" si="12"/>
      </c>
    </row>
    <row r="167" spans="1:8" ht="12" customHeight="1">
      <c r="A167" s="68"/>
      <c r="B167" s="4">
        <v>30</v>
      </c>
      <c r="C167" s="5" t="s">
        <v>103</v>
      </c>
      <c r="D167" s="2" t="s">
        <v>164</v>
      </c>
      <c r="E167" s="6">
        <f t="shared" si="12"/>
        <v>400.0003378658314</v>
      </c>
      <c r="F167" s="6">
        <f t="shared" si="12"/>
      </c>
      <c r="G167" s="6">
        <f t="shared" si="12"/>
      </c>
      <c r="H167" s="6">
        <f t="shared" si="12"/>
      </c>
    </row>
    <row r="168" spans="1:8" ht="12" customHeight="1">
      <c r="A168" s="68"/>
      <c r="B168" s="4">
        <v>40</v>
      </c>
      <c r="C168" s="5" t="s">
        <v>103</v>
      </c>
      <c r="D168" s="2" t="s">
        <v>164</v>
      </c>
      <c r="E168" s="6">
        <f t="shared" si="12"/>
        <v>300.00025339937355</v>
      </c>
      <c r="F168" s="6">
        <f t="shared" si="12"/>
      </c>
      <c r="G168" s="6">
        <f t="shared" si="12"/>
      </c>
      <c r="H168" s="6">
        <f t="shared" si="12"/>
      </c>
    </row>
    <row r="169" spans="1:8" ht="12" customHeight="1">
      <c r="A169" s="68"/>
      <c r="B169" s="4">
        <v>50</v>
      </c>
      <c r="C169" s="5" t="s">
        <v>103</v>
      </c>
      <c r="D169" s="2" t="s">
        <v>164</v>
      </c>
      <c r="E169" s="6">
        <f t="shared" si="12"/>
        <v>240.00020271949882</v>
      </c>
      <c r="F169" s="6">
        <f t="shared" si="12"/>
      </c>
      <c r="G169" s="6">
        <f t="shared" si="12"/>
      </c>
      <c r="H169" s="6">
        <f t="shared" si="12"/>
      </c>
    </row>
    <row r="170" spans="1:8" ht="12" customHeight="1">
      <c r="A170" s="68"/>
      <c r="B170" s="4">
        <v>70</v>
      </c>
      <c r="C170" s="5" t="s">
        <v>103</v>
      </c>
      <c r="D170" s="2" t="s">
        <v>164</v>
      </c>
      <c r="E170" s="6">
        <f t="shared" si="12"/>
        <v>171.4287162282135</v>
      </c>
      <c r="F170" s="6">
        <f t="shared" si="12"/>
      </c>
      <c r="G170" s="6">
        <f t="shared" si="12"/>
      </c>
      <c r="H170" s="6">
        <f t="shared" si="12"/>
      </c>
    </row>
    <row r="171" spans="1:8" ht="12" customHeight="1">
      <c r="A171" s="68"/>
      <c r="B171" s="4">
        <v>100</v>
      </c>
      <c r="C171" s="5" t="s">
        <v>103</v>
      </c>
      <c r="D171" s="2" t="s">
        <v>164</v>
      </c>
      <c r="E171" s="6">
        <f t="shared" si="12"/>
        <v>120.00010135974941</v>
      </c>
      <c r="F171" s="6">
        <f t="shared" si="12"/>
      </c>
      <c r="G171" s="6">
        <f t="shared" si="12"/>
      </c>
      <c r="H171" s="6">
        <f t="shared" si="12"/>
      </c>
    </row>
    <row r="172" spans="1:8" ht="12" customHeight="1">
      <c r="A172" s="68"/>
      <c r="B172" s="4">
        <v>150</v>
      </c>
      <c r="C172" s="5" t="s">
        <v>103</v>
      </c>
      <c r="D172" s="2" t="s">
        <v>164</v>
      </c>
      <c r="E172" s="6">
        <f t="shared" si="12"/>
        <v>80.00006757316628</v>
      </c>
      <c r="F172" s="6">
        <f t="shared" si="12"/>
      </c>
      <c r="G172" s="6">
        <f t="shared" si="12"/>
      </c>
      <c r="H172" s="6">
        <f t="shared" si="12"/>
      </c>
    </row>
    <row r="173" spans="1:8" ht="12" customHeight="1">
      <c r="A173" s="68"/>
      <c r="B173" s="4">
        <v>200</v>
      </c>
      <c r="C173" s="5" t="s">
        <v>103</v>
      </c>
      <c r="D173" s="2" t="s">
        <v>164</v>
      </c>
      <c r="E173" s="6">
        <f t="shared" si="12"/>
        <v>60.000050679874704</v>
      </c>
      <c r="F173" s="6">
        <f t="shared" si="12"/>
      </c>
      <c r="G173" s="6">
        <f t="shared" si="12"/>
      </c>
      <c r="H173" s="6">
        <f t="shared" si="12"/>
      </c>
    </row>
    <row r="174" spans="1:8" ht="12" customHeight="1">
      <c r="A174" s="68"/>
      <c r="B174" s="4">
        <v>300</v>
      </c>
      <c r="C174" s="5" t="s">
        <v>103</v>
      </c>
      <c r="D174" s="2" t="s">
        <v>164</v>
      </c>
      <c r="E174" s="6">
        <f t="shared" si="12"/>
        <v>40.00003378658314</v>
      </c>
      <c r="F174" s="6">
        <f t="shared" si="12"/>
      </c>
      <c r="G174" s="6">
        <f t="shared" si="12"/>
      </c>
      <c r="H174" s="6">
        <f t="shared" si="12"/>
      </c>
    </row>
    <row r="175" spans="1:8" ht="12" customHeight="1">
      <c r="A175" s="68"/>
      <c r="B175" s="4">
        <v>400</v>
      </c>
      <c r="C175" s="5" t="s">
        <v>103</v>
      </c>
      <c r="D175" s="2" t="s">
        <v>164</v>
      </c>
      <c r="E175" s="6">
        <f t="shared" si="12"/>
        <v>30.000025339937352</v>
      </c>
      <c r="F175" s="6">
        <f t="shared" si="12"/>
      </c>
      <c r="G175" s="6">
        <f t="shared" si="12"/>
      </c>
      <c r="H175" s="6">
        <f t="shared" si="12"/>
      </c>
    </row>
    <row r="176" spans="1:8" ht="12" customHeight="1">
      <c r="A176" s="68"/>
      <c r="B176" s="4">
        <v>500</v>
      </c>
      <c r="C176" s="5" t="s">
        <v>103</v>
      </c>
      <c r="D176" s="2" t="s">
        <v>164</v>
      </c>
      <c r="E176" s="6">
        <f t="shared" si="12"/>
        <v>24.00002027194989</v>
      </c>
      <c r="F176" s="6">
        <f t="shared" si="12"/>
      </c>
      <c r="G176" s="6">
        <f t="shared" si="12"/>
      </c>
      <c r="H176" s="6">
        <f t="shared" si="12"/>
      </c>
    </row>
    <row r="177" spans="1:8" ht="12" customHeight="1">
      <c r="A177" s="68"/>
      <c r="B177" s="4">
        <v>700</v>
      </c>
      <c r="C177" s="5" t="s">
        <v>103</v>
      </c>
      <c r="D177" s="2" t="s">
        <v>164</v>
      </c>
      <c r="E177" s="6">
        <f t="shared" si="12"/>
        <v>17.142871622821346</v>
      </c>
      <c r="F177" s="6">
        <f t="shared" si="12"/>
      </c>
      <c r="G177" s="6">
        <f t="shared" si="12"/>
      </c>
      <c r="H177" s="6">
        <f t="shared" si="12"/>
      </c>
    </row>
    <row r="178" spans="1:8" ht="12" customHeight="1">
      <c r="A178" s="68"/>
      <c r="B178" s="4" t="s">
        <v>35</v>
      </c>
      <c r="C178" s="5" t="s">
        <v>103</v>
      </c>
      <c r="D178" s="2" t="s">
        <v>164</v>
      </c>
      <c r="E178" s="6">
        <f t="shared" si="12"/>
        <v>12.000010135974945</v>
      </c>
      <c r="F178" s="6">
        <f t="shared" si="12"/>
      </c>
      <c r="G178" s="6">
        <f t="shared" si="12"/>
      </c>
      <c r="H178" s="6">
        <f t="shared" si="12"/>
      </c>
    </row>
    <row r="179" spans="1:8" ht="12" customHeight="1">
      <c r="A179" s="68"/>
      <c r="B179" s="4" t="s">
        <v>36</v>
      </c>
      <c r="C179" s="5" t="s">
        <v>103</v>
      </c>
      <c r="D179" s="2" t="s">
        <v>164</v>
      </c>
      <c r="E179" s="6">
        <f t="shared" si="12"/>
        <v>8.000006757316628</v>
      </c>
      <c r="F179" s="6">
        <f t="shared" si="12"/>
      </c>
      <c r="G179" s="6">
        <f t="shared" si="12"/>
      </c>
      <c r="H179" s="6">
        <f t="shared" si="12"/>
      </c>
    </row>
    <row r="180" spans="1:8" ht="12" customHeight="1">
      <c r="A180" s="68"/>
      <c r="B180" s="4" t="s">
        <v>37</v>
      </c>
      <c r="C180" s="5" t="s">
        <v>103</v>
      </c>
      <c r="D180" s="2" t="s">
        <v>164</v>
      </c>
      <c r="E180" s="6">
        <f t="shared" si="12"/>
        <v>6.000005067987472</v>
      </c>
      <c r="F180" s="6">
        <f t="shared" si="12"/>
      </c>
      <c r="G180" s="6">
        <f t="shared" si="12"/>
      </c>
      <c r="H180" s="6">
        <f t="shared" si="12"/>
      </c>
    </row>
    <row r="181" spans="1:8" ht="12" customHeight="1">
      <c r="A181" s="68"/>
      <c r="B181" s="4" t="s">
        <v>38</v>
      </c>
      <c r="C181" s="5" t="s">
        <v>103</v>
      </c>
      <c r="D181" s="2" t="s">
        <v>164</v>
      </c>
      <c r="E181" s="6">
        <f t="shared" si="12"/>
        <v>4.000003378658314</v>
      </c>
      <c r="F181" s="6">
        <f t="shared" si="12"/>
      </c>
      <c r="G181" s="6">
        <f t="shared" si="12"/>
      </c>
      <c r="H181" s="6">
        <f t="shared" si="12"/>
      </c>
    </row>
    <row r="182" spans="1:8" ht="12" customHeight="1">
      <c r="A182" s="68"/>
      <c r="B182" s="4" t="s">
        <v>39</v>
      </c>
      <c r="C182" s="5" t="s">
        <v>103</v>
      </c>
      <c r="D182" s="2" t="s">
        <v>164</v>
      </c>
      <c r="E182" s="6">
        <f t="shared" si="12"/>
        <v>3.000002533993736</v>
      </c>
      <c r="F182" s="6">
        <f t="shared" si="12"/>
      </c>
      <c r="G182" s="6">
        <f t="shared" si="12"/>
      </c>
      <c r="H182" s="6">
        <f t="shared" si="12"/>
      </c>
    </row>
    <row r="183" spans="1:8" ht="12" customHeight="1">
      <c r="A183" s="68"/>
      <c r="B183" s="4" t="s">
        <v>40</v>
      </c>
      <c r="C183" s="5" t="s">
        <v>103</v>
      </c>
      <c r="D183" s="2" t="s">
        <v>164</v>
      </c>
      <c r="E183" s="6">
        <f t="shared" si="12"/>
        <v>2.4000020271949887</v>
      </c>
      <c r="F183" s="6">
        <f t="shared" si="12"/>
      </c>
      <c r="G183" s="6">
        <f t="shared" si="12"/>
      </c>
      <c r="H183" s="6">
        <f t="shared" si="12"/>
      </c>
    </row>
    <row r="184" spans="1:8" ht="12" customHeight="1">
      <c r="A184" s="68"/>
      <c r="B184" s="4" t="s">
        <v>41</v>
      </c>
      <c r="C184" s="5" t="s">
        <v>103</v>
      </c>
      <c r="D184" s="2" t="s">
        <v>164</v>
      </c>
      <c r="E184" s="6">
        <f t="shared" si="12"/>
        <v>1.7142871622821347</v>
      </c>
      <c r="F184" s="6">
        <f t="shared" si="12"/>
      </c>
      <c r="G184" s="6">
        <f t="shared" si="12"/>
      </c>
      <c r="H184" s="6">
        <f t="shared" si="12"/>
      </c>
    </row>
    <row r="185" spans="1:8" ht="12" customHeight="1">
      <c r="A185" s="68"/>
      <c r="B185" s="4" t="s">
        <v>42</v>
      </c>
      <c r="C185" s="5" t="s">
        <v>103</v>
      </c>
      <c r="D185" s="2" t="s">
        <v>164</v>
      </c>
      <c r="E185" s="6">
        <f t="shared" si="12"/>
        <v>1.2000010135974943</v>
      </c>
      <c r="F185" s="6">
        <f t="shared" si="12"/>
      </c>
      <c r="G185" s="6">
        <f t="shared" si="12"/>
      </c>
      <c r="H185" s="6">
        <f t="shared" si="12"/>
      </c>
    </row>
    <row r="186" spans="1:8" ht="12" customHeight="1">
      <c r="A186" s="68"/>
      <c r="B186" s="4" t="s">
        <v>43</v>
      </c>
      <c r="C186" s="5" t="s">
        <v>103</v>
      </c>
      <c r="D186" s="2" t="s">
        <v>164</v>
      </c>
      <c r="E186" s="6">
        <f t="shared" si="12"/>
        <v>0.8000006757316627</v>
      </c>
      <c r="F186" s="6">
        <f t="shared" si="12"/>
      </c>
      <c r="G186" s="6">
        <f t="shared" si="12"/>
      </c>
      <c r="H186" s="6">
        <f t="shared" si="12"/>
      </c>
    </row>
    <row r="187" spans="1:8" ht="12" customHeight="1">
      <c r="A187" s="69"/>
      <c r="B187" s="4" t="s">
        <v>44</v>
      </c>
      <c r="C187" s="5" t="s">
        <v>103</v>
      </c>
      <c r="D187" s="2" t="s">
        <v>164</v>
      </c>
      <c r="E187" s="6">
        <f t="shared" si="12"/>
        <v>0.6000005067987472</v>
      </c>
      <c r="F187" s="6">
        <f t="shared" si="12"/>
      </c>
      <c r="G187" s="6">
        <f t="shared" si="12"/>
      </c>
      <c r="H187" s="6">
        <f t="shared" si="12"/>
      </c>
    </row>
  </sheetData>
  <sheetProtection password="BF23" sheet="1" objects="1" scenarios="1"/>
  <mergeCells count="14">
    <mergeCell ref="A166:A187"/>
    <mergeCell ref="A26:A33"/>
    <mergeCell ref="A56:A77"/>
    <mergeCell ref="A34:A55"/>
    <mergeCell ref="A100:A121"/>
    <mergeCell ref="A122:A143"/>
    <mergeCell ref="A78:A99"/>
    <mergeCell ref="A24:A25"/>
    <mergeCell ref="A1:F1"/>
    <mergeCell ref="B16:C16"/>
    <mergeCell ref="A144:A165"/>
    <mergeCell ref="A22:A23"/>
    <mergeCell ref="B19:D19"/>
    <mergeCell ref="B28:D28"/>
  </mergeCells>
  <conditionalFormatting sqref="E19:H19">
    <cfRule type="cellIs" priority="1" dxfId="0" operator="notBetween" stopIfTrue="1">
      <formula>0</formula>
      <formula>1</formula>
    </cfRule>
  </conditionalFormatting>
  <conditionalFormatting sqref="E28:H28">
    <cfRule type="cellIs" priority="2" dxfId="0" operator="notBetween" stopIfTrue="1">
      <formula>0</formula>
      <formula>2</formula>
    </cfRule>
  </conditionalFormatting>
  <printOptions horizontalCentered="1"/>
  <pageMargins left="0.7874015748031497" right="0.3937007874015748" top="0.7874015748031497" bottom="0.3937007874015748" header="0.275590551181102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80" t="s">
        <v>170</v>
      </c>
      <c r="B1" s="81"/>
      <c r="C1" s="81"/>
      <c r="D1" s="81"/>
      <c r="E1" s="81"/>
      <c r="F1" s="82"/>
      <c r="G1" s="28" t="s">
        <v>123</v>
      </c>
      <c r="H1" s="29" t="s">
        <v>122</v>
      </c>
      <c r="I1" s="50" t="s">
        <v>108</v>
      </c>
    </row>
    <row r="2" spans="1:16" ht="15" customHeight="1">
      <c r="A2" s="21"/>
      <c r="B2" s="22"/>
      <c r="C2" s="22"/>
      <c r="D2" s="22"/>
      <c r="E2" s="22"/>
      <c r="F2" s="22"/>
      <c r="G2" s="22"/>
      <c r="H2" s="23"/>
      <c r="I2" s="51" t="s">
        <v>162</v>
      </c>
      <c r="J2" s="1"/>
      <c r="K2" s="1"/>
      <c r="L2" s="1"/>
      <c r="M2" s="1"/>
      <c r="N2" s="1"/>
      <c r="O2" s="1"/>
      <c r="P2" s="1"/>
    </row>
    <row r="3" spans="1:16" ht="15" customHeight="1">
      <c r="A3" s="24"/>
      <c r="B3" s="25"/>
      <c r="C3" s="25"/>
      <c r="D3" s="25"/>
      <c r="E3" s="25"/>
      <c r="F3" s="25"/>
      <c r="G3" s="25"/>
      <c r="H3" s="26"/>
      <c r="I3" s="1" t="s">
        <v>158</v>
      </c>
      <c r="J3" s="1"/>
      <c r="K3" s="1"/>
      <c r="L3" s="1"/>
      <c r="M3" s="1"/>
      <c r="N3" s="1"/>
      <c r="O3" s="1"/>
      <c r="P3" s="1"/>
    </row>
    <row r="4" spans="1:16" ht="15" customHeight="1">
      <c r="A4" s="24"/>
      <c r="B4" s="25"/>
      <c r="C4" s="25"/>
      <c r="D4" s="25"/>
      <c r="E4" s="25"/>
      <c r="F4" s="25"/>
      <c r="G4" s="25"/>
      <c r="H4" s="26"/>
      <c r="I4" s="1" t="s">
        <v>159</v>
      </c>
      <c r="J4" s="1"/>
      <c r="K4" s="1"/>
      <c r="L4" s="1"/>
      <c r="M4" s="1"/>
      <c r="N4" s="1"/>
      <c r="O4" s="1"/>
      <c r="P4" s="1"/>
    </row>
    <row r="5" spans="1:16" ht="15" customHeight="1">
      <c r="A5" s="24"/>
      <c r="B5" s="25"/>
      <c r="C5" s="25"/>
      <c r="D5" s="25"/>
      <c r="E5" s="25"/>
      <c r="F5" s="25"/>
      <c r="G5" s="25"/>
      <c r="H5" s="26"/>
      <c r="I5" s="1" t="s">
        <v>160</v>
      </c>
      <c r="J5" s="1"/>
      <c r="K5" s="1"/>
      <c r="L5" s="1"/>
      <c r="M5" s="1"/>
      <c r="N5" s="1"/>
      <c r="O5" s="1"/>
      <c r="P5" s="1"/>
    </row>
    <row r="6" spans="1:16" ht="15" customHeight="1">
      <c r="A6" s="24"/>
      <c r="B6" s="25"/>
      <c r="C6" s="25"/>
      <c r="D6" s="25"/>
      <c r="E6" s="25"/>
      <c r="F6" s="25"/>
      <c r="G6" s="25"/>
      <c r="H6" s="26"/>
      <c r="I6" s="1" t="s">
        <v>161</v>
      </c>
      <c r="J6" s="1"/>
      <c r="K6" s="1"/>
      <c r="L6" s="1"/>
      <c r="M6" s="1"/>
      <c r="N6" s="1"/>
      <c r="O6" s="1"/>
      <c r="P6" s="1"/>
    </row>
    <row r="7" spans="1:16" ht="15" customHeight="1">
      <c r="A7" s="24"/>
      <c r="B7" s="25"/>
      <c r="C7" s="25"/>
      <c r="D7" s="25"/>
      <c r="E7" s="25"/>
      <c r="F7" s="25"/>
      <c r="G7" s="25"/>
      <c r="H7" s="26"/>
      <c r="I7" s="98" t="s">
        <v>189</v>
      </c>
      <c r="J7" s="1"/>
      <c r="K7" s="1"/>
      <c r="L7" s="1"/>
      <c r="M7" s="1"/>
      <c r="N7" s="1"/>
      <c r="O7" s="1"/>
      <c r="P7" s="1"/>
    </row>
    <row r="8" spans="1:16" ht="15" customHeight="1">
      <c r="A8" s="24"/>
      <c r="B8" s="25"/>
      <c r="C8" s="25"/>
      <c r="D8" s="25"/>
      <c r="E8" s="25"/>
      <c r="F8" s="25"/>
      <c r="G8" s="25"/>
      <c r="H8" s="26"/>
      <c r="I8" s="97" t="s">
        <v>190</v>
      </c>
      <c r="J8" s="1"/>
      <c r="K8" s="1"/>
      <c r="L8" s="1"/>
      <c r="M8" s="1"/>
      <c r="N8" s="1"/>
      <c r="O8" s="1"/>
      <c r="P8" s="1"/>
    </row>
    <row r="9" spans="1:16" ht="15" customHeight="1">
      <c r="A9" s="24"/>
      <c r="B9" s="25"/>
      <c r="C9" s="25"/>
      <c r="D9" s="25"/>
      <c r="E9" s="25"/>
      <c r="F9" s="25"/>
      <c r="G9" s="25"/>
      <c r="H9" s="26"/>
      <c r="I9" s="97" t="s">
        <v>191</v>
      </c>
      <c r="J9" s="1"/>
      <c r="K9" s="1"/>
      <c r="L9" s="1"/>
      <c r="M9" s="1"/>
      <c r="N9" s="1"/>
      <c r="O9" s="1"/>
      <c r="P9" s="1"/>
    </row>
    <row r="10" spans="1:16" ht="15" customHeight="1">
      <c r="A10" s="24"/>
      <c r="B10" s="25"/>
      <c r="C10" s="25"/>
      <c r="D10" s="25"/>
      <c r="E10" s="25"/>
      <c r="F10" s="25"/>
      <c r="G10" s="25"/>
      <c r="H10" s="26"/>
      <c r="I10" s="97" t="s">
        <v>192</v>
      </c>
      <c r="J10" s="1"/>
      <c r="K10" s="1"/>
      <c r="L10" s="1"/>
      <c r="M10" s="1"/>
      <c r="N10" s="1"/>
      <c r="O10" s="1"/>
      <c r="P10" s="1"/>
    </row>
    <row r="11" spans="1:16" ht="15" customHeight="1">
      <c r="A11" s="24"/>
      <c r="B11" s="25"/>
      <c r="C11" s="25"/>
      <c r="D11" s="25"/>
      <c r="E11" s="25"/>
      <c r="F11" s="25"/>
      <c r="G11" s="25"/>
      <c r="H11" s="26"/>
      <c r="I11" s="97" t="s">
        <v>193</v>
      </c>
      <c r="J11" s="1"/>
      <c r="K11" s="1"/>
      <c r="L11" s="1"/>
      <c r="M11" s="1"/>
      <c r="N11" s="1"/>
      <c r="O11" s="1"/>
      <c r="P11" s="1"/>
    </row>
    <row r="12" spans="1:16" ht="15" customHeight="1">
      <c r="A12" s="24"/>
      <c r="B12" s="25"/>
      <c r="C12" s="25"/>
      <c r="D12" s="25"/>
      <c r="E12" s="25"/>
      <c r="F12" s="25"/>
      <c r="G12" s="25"/>
      <c r="H12" s="26"/>
      <c r="I12" s="97" t="s">
        <v>194</v>
      </c>
      <c r="J12" s="1"/>
      <c r="K12" s="1"/>
      <c r="L12" s="1"/>
      <c r="M12" s="1"/>
      <c r="N12" s="1"/>
      <c r="O12" s="1"/>
      <c r="P12" s="1"/>
    </row>
    <row r="13" spans="1:16" ht="15" customHeight="1">
      <c r="A13" s="24"/>
      <c r="B13" s="25"/>
      <c r="C13" s="25"/>
      <c r="D13" s="25"/>
      <c r="E13" s="25"/>
      <c r="F13" s="25"/>
      <c r="G13" s="25"/>
      <c r="H13" s="26"/>
      <c r="I13" s="96" t="s">
        <v>195</v>
      </c>
      <c r="J13" s="1"/>
      <c r="K13" s="1"/>
      <c r="L13" s="1"/>
      <c r="M13" s="1"/>
      <c r="N13" s="1"/>
      <c r="O13" s="1"/>
      <c r="P13" s="1"/>
    </row>
    <row r="14" spans="1:16" ht="15" customHeight="1">
      <c r="A14" s="24"/>
      <c r="B14" s="25"/>
      <c r="C14" s="25"/>
      <c r="D14" s="25"/>
      <c r="E14" s="25"/>
      <c r="F14" s="25"/>
      <c r="G14" s="25"/>
      <c r="H14" s="26"/>
      <c r="I14" s="97" t="s">
        <v>196</v>
      </c>
      <c r="J14" s="1"/>
      <c r="K14" s="1"/>
      <c r="L14" s="1"/>
      <c r="M14" s="1"/>
      <c r="N14" s="1"/>
      <c r="O14" s="1"/>
      <c r="P14" s="1"/>
    </row>
    <row r="15" spans="1:16" ht="15" customHeight="1">
      <c r="A15" s="24"/>
      <c r="B15" s="25"/>
      <c r="C15" s="25"/>
      <c r="D15" s="25"/>
      <c r="E15" s="25"/>
      <c r="F15" s="25"/>
      <c r="G15" s="25"/>
      <c r="H15" s="26"/>
      <c r="I15" s="1"/>
      <c r="J15" s="1"/>
      <c r="K15" s="1"/>
      <c r="L15" s="1"/>
      <c r="M15" s="1"/>
      <c r="N15" s="1"/>
      <c r="O15" s="1"/>
      <c r="P15" s="1"/>
    </row>
    <row r="16" spans="1:16" ht="12" customHeight="1">
      <c r="A16" s="27" t="s">
        <v>72</v>
      </c>
      <c r="B16" s="70" t="s">
        <v>80</v>
      </c>
      <c r="C16" s="71"/>
      <c r="D16" s="27" t="s">
        <v>88</v>
      </c>
      <c r="E16" s="2" t="s">
        <v>121</v>
      </c>
      <c r="F16" s="2" t="s">
        <v>124</v>
      </c>
      <c r="G16" s="2" t="s">
        <v>128</v>
      </c>
      <c r="H16" s="31" t="s">
        <v>136</v>
      </c>
      <c r="I16" s="1"/>
      <c r="J16" s="1"/>
      <c r="K16" s="1"/>
      <c r="L16" s="1"/>
      <c r="M16" s="1"/>
      <c r="N16" s="1"/>
      <c r="O16" s="1"/>
      <c r="P16" s="1"/>
    </row>
    <row r="17" spans="1:16" ht="12" customHeight="1">
      <c r="A17" s="11" t="s">
        <v>141</v>
      </c>
      <c r="B17" s="13" t="s">
        <v>142</v>
      </c>
      <c r="C17" s="14" t="s">
        <v>149</v>
      </c>
      <c r="D17" s="2" t="s">
        <v>2</v>
      </c>
      <c r="E17" s="16">
        <v>6</v>
      </c>
      <c r="F17" s="16">
        <v>6</v>
      </c>
      <c r="G17" s="16">
        <v>6</v>
      </c>
      <c r="H17" s="16">
        <v>6</v>
      </c>
      <c r="I17" s="1"/>
      <c r="J17" s="1"/>
      <c r="K17" s="1"/>
      <c r="L17" s="1"/>
      <c r="M17" s="1"/>
      <c r="N17" s="1"/>
      <c r="O17" s="1"/>
      <c r="P17" s="1"/>
    </row>
    <row r="18" spans="1:16" ht="12" customHeight="1">
      <c r="A18" s="10" t="s">
        <v>143</v>
      </c>
      <c r="B18" s="13" t="s">
        <v>142</v>
      </c>
      <c r="C18" s="11" t="s">
        <v>150</v>
      </c>
      <c r="D18" s="2" t="s">
        <v>3</v>
      </c>
      <c r="E18" s="39">
        <v>91</v>
      </c>
      <c r="F18" s="39">
        <v>91</v>
      </c>
      <c r="G18" s="39">
        <v>91</v>
      </c>
      <c r="H18" s="39">
        <v>91</v>
      </c>
      <c r="I18" s="1"/>
      <c r="J18" s="1"/>
      <c r="K18" s="1"/>
      <c r="L18" s="1"/>
      <c r="M18" s="1"/>
      <c r="N18" s="1"/>
      <c r="O18" s="1"/>
      <c r="P18" s="1"/>
    </row>
    <row r="19" spans="1:16" ht="12" customHeight="1">
      <c r="A19" s="10" t="s">
        <v>148</v>
      </c>
      <c r="B19" s="83" t="s">
        <v>147</v>
      </c>
      <c r="C19" s="84"/>
      <c r="D19" s="85"/>
      <c r="E19" s="9"/>
      <c r="F19" s="9"/>
      <c r="G19" s="9">
        <v>1</v>
      </c>
      <c r="H19" s="9"/>
      <c r="I19" s="1"/>
      <c r="J19" s="1"/>
      <c r="K19" s="1"/>
      <c r="L19" s="1"/>
      <c r="M19" s="1"/>
      <c r="N19" s="1"/>
      <c r="O19" s="1"/>
      <c r="P19" s="1"/>
    </row>
    <row r="20" spans="1:16" ht="12" customHeight="1">
      <c r="A20" s="11" t="s">
        <v>144</v>
      </c>
      <c r="B20" s="49" t="s">
        <v>146</v>
      </c>
      <c r="C20" s="11" t="s">
        <v>59</v>
      </c>
      <c r="D20" s="2" t="s">
        <v>4</v>
      </c>
      <c r="E20" s="48">
        <f>IF(OR(AND(F20&lt;&gt;0,F21&lt;&gt;0,F20&gt;=F21),AND(G20&lt;&gt;0,G21&lt;&gt;0,G20&gt;=G21)),"周波数不適","")</f>
      </c>
      <c r="F20" s="9"/>
      <c r="G20" s="9">
        <v>2000</v>
      </c>
      <c r="H20" s="9"/>
      <c r="I20" s="1"/>
      <c r="J20" s="1"/>
      <c r="K20" s="1"/>
      <c r="L20" s="1"/>
      <c r="M20" s="1"/>
      <c r="N20" s="1"/>
      <c r="O20" s="1"/>
      <c r="P20" s="1"/>
    </row>
    <row r="21" spans="1:16" ht="12" customHeight="1">
      <c r="A21" s="11" t="s">
        <v>145</v>
      </c>
      <c r="B21" s="49" t="s">
        <v>146</v>
      </c>
      <c r="C21" s="11" t="s">
        <v>60</v>
      </c>
      <c r="D21" s="2" t="s">
        <v>45</v>
      </c>
      <c r="E21" s="9">
        <v>2000</v>
      </c>
      <c r="F21" s="9"/>
      <c r="G21" s="9"/>
      <c r="H21" s="17"/>
      <c r="I21" s="1"/>
      <c r="J21" s="1"/>
      <c r="K21" s="1"/>
      <c r="L21" s="1"/>
      <c r="M21" s="1"/>
      <c r="N21" s="1"/>
      <c r="O21" s="1"/>
      <c r="P21" s="1"/>
    </row>
    <row r="22" spans="1:16" ht="12" customHeight="1">
      <c r="A22" s="78" t="s">
        <v>151</v>
      </c>
      <c r="B22" s="10" t="s">
        <v>78</v>
      </c>
      <c r="C22" s="11" t="s">
        <v>65</v>
      </c>
      <c r="D22" s="2" t="s">
        <v>104</v>
      </c>
      <c r="E22" s="17"/>
      <c r="F22" s="3">
        <f>IF(F$20="","",F$17*10^3/(2*PI()*F20))</f>
      </c>
      <c r="G22" s="3">
        <f>IF(G$20="","",G$17*10^3/(2*PI()*G20))</f>
        <v>0.47746482927568606</v>
      </c>
      <c r="H22" s="3">
        <f>IF(H$20="","",H$17*10^3/(2*PI()*H20))</f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79"/>
      <c r="B23" s="10" t="s">
        <v>79</v>
      </c>
      <c r="C23" s="11" t="s">
        <v>66</v>
      </c>
      <c r="D23" s="52" t="s">
        <v>105</v>
      </c>
      <c r="E23" s="12"/>
      <c r="F23" s="3">
        <f>IF(F$20="","",10^6/(2*PI()*F20*F$17))</f>
      </c>
      <c r="G23" s="3">
        <f>IF(G$20="","",10^6/(2*PI()*G20*G$17))</f>
        <v>13.262911924324612</v>
      </c>
      <c r="H23" s="3">
        <f>IF(H$20="","",10^6/(2*PI()*H20*H$17))</f>
      </c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78" t="s">
        <v>152</v>
      </c>
      <c r="B24" s="10" t="s">
        <v>78</v>
      </c>
      <c r="C24" s="11" t="s">
        <v>67</v>
      </c>
      <c r="D24" s="2" t="s">
        <v>104</v>
      </c>
      <c r="E24" s="3">
        <f>IF(E$21="","",E$17*10^3/(2*PI()*E21))</f>
        <v>0.47746482927568606</v>
      </c>
      <c r="F24" s="3">
        <f>IF(F$21="","",F$17*10^3/(2*PI()*F21))</f>
      </c>
      <c r="G24" s="3">
        <f>IF(G$21="","",G$17*10^3/(2*PI()*G21))</f>
      </c>
      <c r="H24" s="12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79"/>
      <c r="B25" s="10" t="s">
        <v>79</v>
      </c>
      <c r="C25" s="11" t="s">
        <v>68</v>
      </c>
      <c r="D25" s="52" t="s">
        <v>105</v>
      </c>
      <c r="E25" s="3">
        <f>IF(E$21="","",10^6/(2*PI()*E21*E$17))</f>
        <v>13.262911924324612</v>
      </c>
      <c r="F25" s="3">
        <f>IF(F$21="","",10^6/(2*PI()*F21*F$17))</f>
      </c>
      <c r="G25" s="3">
        <f>IF(G$21="","",10^6/(2*PI()*G21*G$17))</f>
      </c>
      <c r="H25" s="12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72" t="s">
        <v>75</v>
      </c>
      <c r="B26" s="10" t="s">
        <v>84</v>
      </c>
      <c r="C26" s="11" t="s">
        <v>153</v>
      </c>
      <c r="D26" s="2" t="s">
        <v>100</v>
      </c>
      <c r="E26" s="16">
        <v>6</v>
      </c>
      <c r="F26" s="16">
        <v>6</v>
      </c>
      <c r="G26" s="16">
        <v>6</v>
      </c>
      <c r="H26" s="16">
        <v>6</v>
      </c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73"/>
      <c r="B27" s="10" t="s">
        <v>81</v>
      </c>
      <c r="C27" s="11" t="s">
        <v>154</v>
      </c>
      <c r="D27" s="2" t="s">
        <v>0</v>
      </c>
      <c r="E27" s="39">
        <v>91</v>
      </c>
      <c r="F27" s="39">
        <v>91</v>
      </c>
      <c r="G27" s="39">
        <v>105</v>
      </c>
      <c r="H27" s="39">
        <v>91</v>
      </c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73"/>
      <c r="B28" s="83" t="s">
        <v>163</v>
      </c>
      <c r="C28" s="84"/>
      <c r="D28" s="85"/>
      <c r="E28" s="9"/>
      <c r="F28" s="9"/>
      <c r="G28" s="9">
        <v>1</v>
      </c>
      <c r="H28" s="9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73"/>
      <c r="B29" s="10" t="s">
        <v>83</v>
      </c>
      <c r="C29" s="11" t="s">
        <v>126</v>
      </c>
      <c r="D29" s="2" t="s">
        <v>107</v>
      </c>
      <c r="E29" s="12">
        <f>IF(E$17*E$18*E$26*E$27=0,"",IF(E$28=0,"",IF(E$18&gt;E$27+10*LOG(E$17/E$26),"Unable",IF(E$26/(10^((E$18-E$27-10*LOG(E$17/E$26))/20))-E$17=0,"Blank",IF(E$28=2,IF(E$17&gt;=E$26,"Blank",E$17*E$26/ABS(E$26-E$17)),E$17*E$26/ABS(E$26/(10^((E$18-E$27-10*LOG(E$17/E$26))/20))-E$17))))))</f>
      </c>
      <c r="F29" s="12">
        <f>IF(F$17*F$18*F$26*F$27=0,"",IF(F$28=0,"",IF(F$18&gt;F$27+10*LOG(F$17/F$26),"Unable",IF(F$26/(10^((F$18-F$27-10*LOG(F$17/F$26))/20))-F$17=0,"Blank",IF(F$28=2,IF(F$17&gt;=F$26,"Blank",F$17*F$26/ABS(F$26-F$17)),F$17*F$26/ABS(F$26/(10^((F$18-F$27-10*LOG(F$17/F$26))/20))-F$17))))))</f>
      </c>
      <c r="G29" s="12">
        <f>IF(G$17*G$18*G$26*G$27=0,"",IF(G$28=0,"",IF(G$18&gt;G$27+10*LOG(G$17/G$26),"Unable",IF(G$26/(10^((G$18-G$27-10*LOG(G$17/G$26))/20))-G$17=0,"Blank",IF(G$28=2,IF(G$17&gt;=G$26,"Blank",G$17*G$26/ABS(G$26-G$17)),G$17*G$26/ABS(G$26/(10^((G$18-G$27-10*LOG(G$17/G$26))/20))-G$17))))))</f>
        <v>1.4955610490772422</v>
      </c>
      <c r="H29" s="12">
        <f>IF(H$17*H$18*H$26*H$27=0,"",IF(H$28=0,"",IF(H$18&gt;H$27+10*LOG(H$17/H$26),"Unable",IF(H$26/(10^((H$18-H$27-10*LOG(H$17/H$26))/20))-H$17=0,"Blank",IF(H$28=2,IF(H$17&gt;=H$26,"Blank",H$17*H$26/ABS(H$26-H$17)),H$17*H$26/ABS(H$26/(10^((H$18-H$27-10*LOG(H$17/H$26))/20))-H$17))))))</f>
      </c>
      <c r="I29" s="1"/>
      <c r="J29" s="1"/>
      <c r="K29" s="1"/>
      <c r="L29" s="1"/>
      <c r="M29" s="1"/>
      <c r="N29" s="1"/>
      <c r="O29" s="1"/>
      <c r="P29" s="1"/>
    </row>
    <row r="30" spans="1:16" ht="12" customHeight="1">
      <c r="A30" s="73"/>
      <c r="B30" s="10" t="s">
        <v>85</v>
      </c>
      <c r="C30" s="11" t="s">
        <v>127</v>
      </c>
      <c r="D30" s="2" t="s">
        <v>107</v>
      </c>
      <c r="E30" s="12">
        <f>IF(E$17*E$18*E$26*E$27=0,"",IF(E$28=0,"",IF(E$27+E$33&lt;E$18,"Unable",IF(E$29="Unable","Unable",IF(E$29="Blank",E$17-E$26,E$17-E$29*E$26/(E$29+E$26))))))</f>
      </c>
      <c r="F30" s="12">
        <f>IF(F$17*F$18*F$26*F$27=0,"",IF(F$28=0,"",IF(F$27+F$33&lt;F$18,"Unable",IF(F$29="Unable","Unable",IF(F$29="Blank",F$17-F$26,F$17-F$29*F$26/(F$29+F$26))))))</f>
      </c>
      <c r="G30" s="12">
        <f>IF(G$17*G$18*G$26*G$27=0,"",IF(G$28=0,"",IF(G$27+G$33&lt;G$18,"Unable",IF(G$29="Unable","Unable",IF(G$29="Blank",G$17-G$26,G$17-G$29*G$26/(G$29+G$26))))))</f>
        <v>4.802842611018672</v>
      </c>
      <c r="H30" s="12">
        <f>IF(H$17*H$18*H$26*H$27=0,"",IF(H$28=0,"",IF(H$27+H$33&lt;H$18,"Unable",IF(H$29="Unable","Unable",IF(H$29="Blank",H$17-H$26,H$17-H$29*H$26/(H$29+H$26))))))</f>
      </c>
      <c r="I30" s="1"/>
      <c r="J30" s="1"/>
      <c r="K30" s="1"/>
      <c r="L30" s="1"/>
      <c r="M30" s="1"/>
      <c r="N30" s="1"/>
      <c r="O30" s="1"/>
      <c r="P30" s="1"/>
    </row>
    <row r="31" spans="1:16" ht="12" customHeight="1">
      <c r="A31" s="73"/>
      <c r="B31" s="10" t="s">
        <v>86</v>
      </c>
      <c r="C31" s="19" t="s">
        <v>57</v>
      </c>
      <c r="D31" s="2" t="s">
        <v>107</v>
      </c>
      <c r="E31" s="20">
        <f>IF(E$17*E$18*E$26*E$27=0,"",IF(OR(E$28=1,E$28=2),E$17,E$26))</f>
        <v>6</v>
      </c>
      <c r="F31" s="20">
        <f>IF(F$17*F$18*F$26*F$27=0,"",IF(OR(F$28=1,F$28=2),F$17,F$26))</f>
        <v>6</v>
      </c>
      <c r="G31" s="20">
        <f>IF(G$17*G$18*G$26*G$27=0,"",IF(OR(G$28=1,G$28=2),G$17,G$26))</f>
        <v>6</v>
      </c>
      <c r="H31" s="20">
        <f>IF(H$17*H$18*H$26*H$27=0,"",IF(OR(H$28=1,H$28=2),H$17,H$26))</f>
        <v>6</v>
      </c>
      <c r="I31" s="1"/>
      <c r="J31" s="1"/>
      <c r="K31" s="1"/>
      <c r="L31" s="1"/>
      <c r="M31" s="1"/>
      <c r="N31" s="1"/>
      <c r="O31" s="1"/>
      <c r="P31" s="1"/>
    </row>
    <row r="32" spans="1:16" ht="12" customHeight="1">
      <c r="A32" s="73"/>
      <c r="B32" s="10" t="s">
        <v>87</v>
      </c>
      <c r="C32" s="11" t="s">
        <v>58</v>
      </c>
      <c r="D32" s="2" t="s">
        <v>89</v>
      </c>
      <c r="E32" s="12">
        <f>IF(E$17*E$18*E$26*E$27=0,"",10^(E$33/20))</f>
        <v>1</v>
      </c>
      <c r="F32" s="12">
        <f>IF(F$17*F$18*F$26*F$27=0,"",10^(F$33/20))</f>
        <v>1</v>
      </c>
      <c r="G32" s="12">
        <f>IF(G$17*G$18*G$26*G$27=0,"",10^(G$33/20))</f>
        <v>1</v>
      </c>
      <c r="H32" s="12">
        <f>IF(H$17*H$18*H$26*H$27=0,"",10^(H$33/20))</f>
        <v>1</v>
      </c>
      <c r="I32" s="1"/>
      <c r="J32" s="1"/>
      <c r="K32" s="1"/>
      <c r="L32" s="1"/>
      <c r="M32" s="1"/>
      <c r="N32" s="1"/>
      <c r="O32" s="1"/>
      <c r="P32" s="1"/>
    </row>
    <row r="33" spans="1:16" ht="12" customHeight="1">
      <c r="A33" s="74"/>
      <c r="B33" s="10" t="s">
        <v>87</v>
      </c>
      <c r="C33" s="11" t="s">
        <v>58</v>
      </c>
      <c r="D33" s="2" t="s">
        <v>98</v>
      </c>
      <c r="E33" s="12">
        <f>IF(E$17*E$18*E$26*E$27=0,"",IF(E$28=1,0,E$27-E$18+10*LOG(E$17/E$26)+IF(E$28=2,IF(E$29="Blank",20*LOG(E$26/E$31),20*LOG(E$26*E$29/((E$26+E$29)*E$31))),0)))</f>
        <v>0</v>
      </c>
      <c r="F33" s="12">
        <f>IF(F$17*F$18*F$26*F$27=0,"",IF(F$28=1,0,F$27-F$18+10*LOG(F$17/F$26)+IF(F$28=2,IF(F$29="Blank",20*LOG(F$26/F$31),20*LOG(F$26*F$29/((F$26+F$29)*F$31))),0)))</f>
        <v>0</v>
      </c>
      <c r="G33" s="12">
        <f>IF(G$17*G$18*G$26*G$27=0,"",IF(G$28=1,0,G$27-G$18+10*LOG(G$17/G$26)+IF(G$28=2,IF(G$29="Blank",20*LOG(G$26/G$31),20*LOG(G$26*G$29/((G$26+G$29)*G$31))),0)))</f>
        <v>0</v>
      </c>
      <c r="H33" s="12">
        <f>IF(H$17*H$18*H$26*H$27=0,"",IF(H$28=1,0,H$27-H$18+10*LOG(H$17/H$26)+IF(H$28=2,IF(H$29="Blank",20*LOG(H$26/H$31),20*LOG(H$26*H$29/((H$26+H$29)*H$31))),0)))</f>
        <v>0</v>
      </c>
      <c r="I33" s="1"/>
      <c r="J33" s="1"/>
      <c r="K33" s="1"/>
      <c r="L33" s="1"/>
      <c r="M33" s="1"/>
      <c r="N33" s="1"/>
      <c r="O33" s="1"/>
      <c r="P33" s="1"/>
    </row>
    <row r="34" spans="1:8" ht="12" customHeight="1">
      <c r="A34" s="77" t="s">
        <v>73</v>
      </c>
      <c r="B34" s="4">
        <v>20</v>
      </c>
      <c r="C34" s="5" t="s">
        <v>103</v>
      </c>
      <c r="D34" s="2" t="s">
        <v>164</v>
      </c>
      <c r="E34" s="6">
        <f aca="true" t="shared" si="0" ref="E34:H55">E$17</f>
        <v>6</v>
      </c>
      <c r="F34" s="6">
        <f t="shared" si="0"/>
        <v>6</v>
      </c>
      <c r="G34" s="6">
        <f t="shared" si="0"/>
        <v>6</v>
      </c>
      <c r="H34" s="6">
        <f t="shared" si="0"/>
        <v>6</v>
      </c>
    </row>
    <row r="35" spans="1:8" ht="12" customHeight="1">
      <c r="A35" s="77"/>
      <c r="B35" s="4">
        <v>30</v>
      </c>
      <c r="C35" s="5" t="s">
        <v>103</v>
      </c>
      <c r="D35" s="2" t="s">
        <v>164</v>
      </c>
      <c r="E35" s="6">
        <f t="shared" si="0"/>
        <v>6</v>
      </c>
      <c r="F35" s="6">
        <f t="shared" si="0"/>
        <v>6</v>
      </c>
      <c r="G35" s="6">
        <f t="shared" si="0"/>
        <v>6</v>
      </c>
      <c r="H35" s="6">
        <f t="shared" si="0"/>
        <v>6</v>
      </c>
    </row>
    <row r="36" spans="1:8" ht="12" customHeight="1">
      <c r="A36" s="77"/>
      <c r="B36" s="4">
        <v>40</v>
      </c>
      <c r="C36" s="5" t="s">
        <v>103</v>
      </c>
      <c r="D36" s="2" t="s">
        <v>164</v>
      </c>
      <c r="E36" s="6">
        <f t="shared" si="0"/>
        <v>6</v>
      </c>
      <c r="F36" s="6">
        <f t="shared" si="0"/>
        <v>6</v>
      </c>
      <c r="G36" s="6">
        <f t="shared" si="0"/>
        <v>6</v>
      </c>
      <c r="H36" s="6">
        <f t="shared" si="0"/>
        <v>6</v>
      </c>
    </row>
    <row r="37" spans="1:8" ht="12" customHeight="1">
      <c r="A37" s="86"/>
      <c r="B37" s="4">
        <v>50</v>
      </c>
      <c r="C37" s="5" t="s">
        <v>103</v>
      </c>
      <c r="D37" s="2" t="s">
        <v>164</v>
      </c>
      <c r="E37" s="6">
        <f t="shared" si="0"/>
        <v>6</v>
      </c>
      <c r="F37" s="6">
        <f t="shared" si="0"/>
        <v>6</v>
      </c>
      <c r="G37" s="6">
        <f t="shared" si="0"/>
        <v>6</v>
      </c>
      <c r="H37" s="6">
        <f t="shared" si="0"/>
        <v>6</v>
      </c>
    </row>
    <row r="38" spans="1:8" ht="12" customHeight="1">
      <c r="A38" s="86"/>
      <c r="B38" s="4">
        <v>70</v>
      </c>
      <c r="C38" s="5" t="s">
        <v>103</v>
      </c>
      <c r="D38" s="2" t="s">
        <v>164</v>
      </c>
      <c r="E38" s="6">
        <f t="shared" si="0"/>
        <v>6</v>
      </c>
      <c r="F38" s="6">
        <f t="shared" si="0"/>
        <v>6</v>
      </c>
      <c r="G38" s="6">
        <f t="shared" si="0"/>
        <v>6</v>
      </c>
      <c r="H38" s="6">
        <f t="shared" si="0"/>
        <v>6</v>
      </c>
    </row>
    <row r="39" spans="1:8" ht="12" customHeight="1">
      <c r="A39" s="86"/>
      <c r="B39" s="4">
        <v>100</v>
      </c>
      <c r="C39" s="5" t="s">
        <v>103</v>
      </c>
      <c r="D39" s="2" t="s">
        <v>164</v>
      </c>
      <c r="E39" s="6">
        <f t="shared" si="0"/>
        <v>6</v>
      </c>
      <c r="F39" s="6">
        <f t="shared" si="0"/>
        <v>6</v>
      </c>
      <c r="G39" s="6">
        <f t="shared" si="0"/>
        <v>6</v>
      </c>
      <c r="H39" s="6">
        <f t="shared" si="0"/>
        <v>6</v>
      </c>
    </row>
    <row r="40" spans="1:8" ht="12" customHeight="1">
      <c r="A40" s="86"/>
      <c r="B40" s="4">
        <v>150</v>
      </c>
      <c r="C40" s="5" t="s">
        <v>103</v>
      </c>
      <c r="D40" s="2" t="s">
        <v>164</v>
      </c>
      <c r="E40" s="6">
        <f t="shared" si="0"/>
        <v>6</v>
      </c>
      <c r="F40" s="6">
        <f t="shared" si="0"/>
        <v>6</v>
      </c>
      <c r="G40" s="6">
        <f t="shared" si="0"/>
        <v>6</v>
      </c>
      <c r="H40" s="6">
        <f t="shared" si="0"/>
        <v>6</v>
      </c>
    </row>
    <row r="41" spans="1:8" ht="12" customHeight="1">
      <c r="A41" s="86"/>
      <c r="B41" s="4">
        <v>200</v>
      </c>
      <c r="C41" s="5" t="s">
        <v>103</v>
      </c>
      <c r="D41" s="2" t="s">
        <v>164</v>
      </c>
      <c r="E41" s="6">
        <f t="shared" si="0"/>
        <v>6</v>
      </c>
      <c r="F41" s="6">
        <f t="shared" si="0"/>
        <v>6</v>
      </c>
      <c r="G41" s="6">
        <f t="shared" si="0"/>
        <v>6</v>
      </c>
      <c r="H41" s="6">
        <f t="shared" si="0"/>
        <v>6</v>
      </c>
    </row>
    <row r="42" spans="1:8" ht="12" customHeight="1">
      <c r="A42" s="86"/>
      <c r="B42" s="4">
        <v>300</v>
      </c>
      <c r="C42" s="5" t="s">
        <v>103</v>
      </c>
      <c r="D42" s="2" t="s">
        <v>164</v>
      </c>
      <c r="E42" s="6">
        <f t="shared" si="0"/>
        <v>6</v>
      </c>
      <c r="F42" s="6">
        <f t="shared" si="0"/>
        <v>6</v>
      </c>
      <c r="G42" s="6">
        <f t="shared" si="0"/>
        <v>6</v>
      </c>
      <c r="H42" s="6">
        <f t="shared" si="0"/>
        <v>6</v>
      </c>
    </row>
    <row r="43" spans="1:8" ht="12" customHeight="1">
      <c r="A43" s="86"/>
      <c r="B43" s="4">
        <v>400</v>
      </c>
      <c r="C43" s="5" t="s">
        <v>103</v>
      </c>
      <c r="D43" s="2" t="s">
        <v>164</v>
      </c>
      <c r="E43" s="6">
        <f t="shared" si="0"/>
        <v>6</v>
      </c>
      <c r="F43" s="6">
        <f t="shared" si="0"/>
        <v>6</v>
      </c>
      <c r="G43" s="6">
        <f t="shared" si="0"/>
        <v>6</v>
      </c>
      <c r="H43" s="6">
        <f t="shared" si="0"/>
        <v>6</v>
      </c>
    </row>
    <row r="44" spans="1:8" ht="12" customHeight="1">
      <c r="A44" s="86"/>
      <c r="B44" s="4">
        <v>500</v>
      </c>
      <c r="C44" s="5" t="s">
        <v>103</v>
      </c>
      <c r="D44" s="2" t="s">
        <v>164</v>
      </c>
      <c r="E44" s="6">
        <f t="shared" si="0"/>
        <v>6</v>
      </c>
      <c r="F44" s="6">
        <f t="shared" si="0"/>
        <v>6</v>
      </c>
      <c r="G44" s="6">
        <f t="shared" si="0"/>
        <v>6</v>
      </c>
      <c r="H44" s="6">
        <f t="shared" si="0"/>
        <v>6</v>
      </c>
    </row>
    <row r="45" spans="1:8" ht="12" customHeight="1">
      <c r="A45" s="86"/>
      <c r="B45" s="4">
        <v>700</v>
      </c>
      <c r="C45" s="5" t="s">
        <v>103</v>
      </c>
      <c r="D45" s="2" t="s">
        <v>164</v>
      </c>
      <c r="E45" s="6">
        <f t="shared" si="0"/>
        <v>6</v>
      </c>
      <c r="F45" s="6">
        <f t="shared" si="0"/>
        <v>6</v>
      </c>
      <c r="G45" s="6">
        <f t="shared" si="0"/>
        <v>6</v>
      </c>
      <c r="H45" s="6">
        <f t="shared" si="0"/>
        <v>6</v>
      </c>
    </row>
    <row r="46" spans="1:8" ht="12" customHeight="1">
      <c r="A46" s="86"/>
      <c r="B46" s="4" t="s">
        <v>46</v>
      </c>
      <c r="C46" s="5" t="s">
        <v>103</v>
      </c>
      <c r="D46" s="2" t="s">
        <v>164</v>
      </c>
      <c r="E46" s="6">
        <f t="shared" si="0"/>
        <v>6</v>
      </c>
      <c r="F46" s="6">
        <f t="shared" si="0"/>
        <v>6</v>
      </c>
      <c r="G46" s="6">
        <f t="shared" si="0"/>
        <v>6</v>
      </c>
      <c r="H46" s="6">
        <f t="shared" si="0"/>
        <v>6</v>
      </c>
    </row>
    <row r="47" spans="1:8" ht="12" customHeight="1">
      <c r="A47" s="86"/>
      <c r="B47" s="4" t="s">
        <v>47</v>
      </c>
      <c r="C47" s="5" t="s">
        <v>103</v>
      </c>
      <c r="D47" s="2" t="s">
        <v>164</v>
      </c>
      <c r="E47" s="6">
        <f t="shared" si="0"/>
        <v>6</v>
      </c>
      <c r="F47" s="6">
        <f t="shared" si="0"/>
        <v>6</v>
      </c>
      <c r="G47" s="6">
        <f t="shared" si="0"/>
        <v>6</v>
      </c>
      <c r="H47" s="6">
        <f t="shared" si="0"/>
        <v>6</v>
      </c>
    </row>
    <row r="48" spans="1:8" ht="12" customHeight="1">
      <c r="A48" s="86"/>
      <c r="B48" s="4" t="s">
        <v>48</v>
      </c>
      <c r="C48" s="5" t="s">
        <v>103</v>
      </c>
      <c r="D48" s="2" t="s">
        <v>164</v>
      </c>
      <c r="E48" s="6">
        <f t="shared" si="0"/>
        <v>6</v>
      </c>
      <c r="F48" s="6">
        <f t="shared" si="0"/>
        <v>6</v>
      </c>
      <c r="G48" s="6">
        <f t="shared" si="0"/>
        <v>6</v>
      </c>
      <c r="H48" s="6">
        <f t="shared" si="0"/>
        <v>6</v>
      </c>
    </row>
    <row r="49" spans="1:8" ht="12" customHeight="1">
      <c r="A49" s="86"/>
      <c r="B49" s="4" t="s">
        <v>49</v>
      </c>
      <c r="C49" s="5" t="s">
        <v>103</v>
      </c>
      <c r="D49" s="2" t="s">
        <v>164</v>
      </c>
      <c r="E49" s="6">
        <f t="shared" si="0"/>
        <v>6</v>
      </c>
      <c r="F49" s="6">
        <f t="shared" si="0"/>
        <v>6</v>
      </c>
      <c r="G49" s="6">
        <f t="shared" si="0"/>
        <v>6</v>
      </c>
      <c r="H49" s="6">
        <f t="shared" si="0"/>
        <v>6</v>
      </c>
    </row>
    <row r="50" spans="1:8" ht="12" customHeight="1">
      <c r="A50" s="86"/>
      <c r="B50" s="4" t="s">
        <v>50</v>
      </c>
      <c r="C50" s="5" t="s">
        <v>103</v>
      </c>
      <c r="D50" s="2" t="s">
        <v>164</v>
      </c>
      <c r="E50" s="6">
        <f t="shared" si="0"/>
        <v>6</v>
      </c>
      <c r="F50" s="6">
        <f t="shared" si="0"/>
        <v>6</v>
      </c>
      <c r="G50" s="6">
        <f t="shared" si="0"/>
        <v>6</v>
      </c>
      <c r="H50" s="6">
        <f t="shared" si="0"/>
        <v>6</v>
      </c>
    </row>
    <row r="51" spans="1:8" ht="12" customHeight="1">
      <c r="A51" s="86"/>
      <c r="B51" s="4" t="s">
        <v>51</v>
      </c>
      <c r="C51" s="5" t="s">
        <v>103</v>
      </c>
      <c r="D51" s="2" t="s">
        <v>164</v>
      </c>
      <c r="E51" s="6">
        <f t="shared" si="0"/>
        <v>6</v>
      </c>
      <c r="F51" s="6">
        <f t="shared" si="0"/>
        <v>6</v>
      </c>
      <c r="G51" s="6">
        <f t="shared" si="0"/>
        <v>6</v>
      </c>
      <c r="H51" s="6">
        <f t="shared" si="0"/>
        <v>6</v>
      </c>
    </row>
    <row r="52" spans="1:8" ht="12" customHeight="1">
      <c r="A52" s="86"/>
      <c r="B52" s="4" t="s">
        <v>52</v>
      </c>
      <c r="C52" s="5" t="s">
        <v>103</v>
      </c>
      <c r="D52" s="2" t="s">
        <v>164</v>
      </c>
      <c r="E52" s="6">
        <f t="shared" si="0"/>
        <v>6</v>
      </c>
      <c r="F52" s="6">
        <f t="shared" si="0"/>
        <v>6</v>
      </c>
      <c r="G52" s="6">
        <f t="shared" si="0"/>
        <v>6</v>
      </c>
      <c r="H52" s="6">
        <f t="shared" si="0"/>
        <v>6</v>
      </c>
    </row>
    <row r="53" spans="1:8" ht="12" customHeight="1">
      <c r="A53" s="86"/>
      <c r="B53" s="4" t="s">
        <v>53</v>
      </c>
      <c r="C53" s="5" t="s">
        <v>103</v>
      </c>
      <c r="D53" s="2" t="s">
        <v>164</v>
      </c>
      <c r="E53" s="6">
        <f t="shared" si="0"/>
        <v>6</v>
      </c>
      <c r="F53" s="6">
        <f t="shared" si="0"/>
        <v>6</v>
      </c>
      <c r="G53" s="6">
        <f t="shared" si="0"/>
        <v>6</v>
      </c>
      <c r="H53" s="6">
        <f t="shared" si="0"/>
        <v>6</v>
      </c>
    </row>
    <row r="54" spans="1:8" ht="12" customHeight="1">
      <c r="A54" s="86"/>
      <c r="B54" s="4" t="s">
        <v>54</v>
      </c>
      <c r="C54" s="5" t="s">
        <v>103</v>
      </c>
      <c r="D54" s="2" t="s">
        <v>164</v>
      </c>
      <c r="E54" s="6">
        <f t="shared" si="0"/>
        <v>6</v>
      </c>
      <c r="F54" s="6">
        <f t="shared" si="0"/>
        <v>6</v>
      </c>
      <c r="G54" s="6">
        <f t="shared" si="0"/>
        <v>6</v>
      </c>
      <c r="H54" s="6">
        <f t="shared" si="0"/>
        <v>6</v>
      </c>
    </row>
    <row r="55" spans="1:8" ht="12" customHeight="1">
      <c r="A55" s="86"/>
      <c r="B55" s="4" t="s">
        <v>55</v>
      </c>
      <c r="C55" s="5" t="s">
        <v>103</v>
      </c>
      <c r="D55" s="2" t="s">
        <v>164</v>
      </c>
      <c r="E55" s="6">
        <f t="shared" si="0"/>
        <v>6</v>
      </c>
      <c r="F55" s="6">
        <f t="shared" si="0"/>
        <v>6</v>
      </c>
      <c r="G55" s="6">
        <f t="shared" si="0"/>
        <v>6</v>
      </c>
      <c r="H55" s="6">
        <f t="shared" si="0"/>
        <v>6</v>
      </c>
    </row>
    <row r="56" spans="1:8" ht="12" customHeight="1">
      <c r="A56" s="67" t="s">
        <v>93</v>
      </c>
      <c r="B56" s="4">
        <v>20</v>
      </c>
      <c r="C56" s="5" t="s">
        <v>103</v>
      </c>
      <c r="D56" s="2" t="s">
        <v>98</v>
      </c>
      <c r="E56" s="18">
        <f>IF(E$31="","",E$33+IF(E$21=0,0,20*LOG(E$31/((E$31^2+E144^2)^0.5))))</f>
        <v>-0.0004342720350344593</v>
      </c>
      <c r="F56" s="18">
        <f>IF(F$31="","",F$33+IF(F$20=0,0,20*LOG(F$31/((F$31^2+F122^2)^0.5)))+IF(F$21=0,0,20*LOG(F$31/((F$31^2+F144^2)^0.5)))+$F$18-$E$18)</f>
        <v>0</v>
      </c>
      <c r="G56" s="18">
        <f>IF(G$31="","",G$33+IF(G$20=0,0,20*LOG(G$31/((G$31^2+G122^2)^0.5)))+IF(G$21=0,0,20*LOG(G$31/((G$31^2+G144^2)^0.5)))+$G$18-$E$18)</f>
        <v>-40.00044160869525</v>
      </c>
      <c r="H56" s="18">
        <f>IF(H$31="","",H$33+IF(H$20=0,0,20*LOG(H$31/((H$31^2+H122^2)^0.5)))+$H$18-$E$18)</f>
        <v>0</v>
      </c>
    </row>
    <row r="57" spans="1:8" ht="12" customHeight="1">
      <c r="A57" s="68"/>
      <c r="B57" s="4">
        <v>30</v>
      </c>
      <c r="C57" s="5" t="s">
        <v>103</v>
      </c>
      <c r="D57" s="2" t="s">
        <v>98</v>
      </c>
      <c r="E57" s="18">
        <f aca="true" t="shared" si="1" ref="E57:E77">IF(E$31="","",E$33+IF(E$21=0,0,20*LOG(E$31/((E$31^2+E145^2)^0.5))))</f>
        <v>-0.000977051019602396</v>
      </c>
      <c r="F57" s="18">
        <f aca="true" t="shared" si="2" ref="F57:F77">IF(F$31="","",F$33+IF(F$20=0,0,20*LOG(F$31/((F$31^2+F123^2)^0.5)))+IF(F$21=0,0,20*LOG(F$31/((F$31^2+F145^2)^0.5)))+$F$18-$E$18)</f>
        <v>0</v>
      </c>
      <c r="G57" s="18">
        <f aca="true" t="shared" si="3" ref="G57:G77">IF(G$31="","",G$33+IF(G$20=0,0,20*LOG(G$31/((G$31^2+G123^2)^0.5)))+IF(G$21=0,0,20*LOG(G$31/((G$31^2+G145^2)^0.5)))+$G$18-$E$18)</f>
        <v>-36.47915920656619</v>
      </c>
      <c r="H57" s="18">
        <f aca="true" t="shared" si="4" ref="H57:H77">IF(H$31="","",H$33+IF(H$20=0,0,20*LOG(H$31/((H$31^2+H123^2)^0.5)))+$H$18-$E$18)</f>
        <v>0</v>
      </c>
    </row>
    <row r="58" spans="1:8" ht="12" customHeight="1">
      <c r="A58" s="68"/>
      <c r="B58" s="4">
        <v>40</v>
      </c>
      <c r="C58" s="5" t="s">
        <v>103</v>
      </c>
      <c r="D58" s="2" t="s">
        <v>98</v>
      </c>
      <c r="E58" s="18">
        <f t="shared" si="1"/>
        <v>-0.0017368276511610919</v>
      </c>
      <c r="F58" s="18">
        <f t="shared" si="2"/>
        <v>0</v>
      </c>
      <c r="G58" s="18">
        <f t="shared" si="3"/>
        <v>-33.98114425103175</v>
      </c>
      <c r="H58" s="18">
        <f t="shared" si="4"/>
        <v>0</v>
      </c>
    </row>
    <row r="59" spans="1:8" ht="12" customHeight="1">
      <c r="A59" s="68"/>
      <c r="B59" s="4">
        <v>50</v>
      </c>
      <c r="C59" s="5" t="s">
        <v>103</v>
      </c>
      <c r="D59" s="2" t="s">
        <v>98</v>
      </c>
      <c r="E59" s="18">
        <f t="shared" si="1"/>
        <v>-0.0027134880512049197</v>
      </c>
      <c r="F59" s="18">
        <f t="shared" si="2"/>
        <v>0</v>
      </c>
      <c r="G59" s="18">
        <f t="shared" si="3"/>
        <v>-32.04392065127066</v>
      </c>
      <c r="H59" s="18">
        <f t="shared" si="4"/>
        <v>0</v>
      </c>
    </row>
    <row r="60" spans="1:8" ht="12" customHeight="1">
      <c r="A60" s="68"/>
      <c r="B60" s="4">
        <v>70</v>
      </c>
      <c r="C60" s="5" t="s">
        <v>103</v>
      </c>
      <c r="D60" s="2" t="s">
        <v>98</v>
      </c>
      <c r="E60" s="18">
        <f t="shared" si="1"/>
        <v>-0.005316842519844596</v>
      </c>
      <c r="F60" s="18">
        <f t="shared" si="2"/>
        <v>0</v>
      </c>
      <c r="G60" s="18">
        <f t="shared" si="3"/>
        <v>-29.123963292174544</v>
      </c>
      <c r="H60" s="18">
        <f t="shared" si="4"/>
        <v>0</v>
      </c>
    </row>
    <row r="61" spans="1:8" ht="12" customHeight="1">
      <c r="A61" s="68"/>
      <c r="B61" s="4">
        <v>100</v>
      </c>
      <c r="C61" s="5" t="s">
        <v>103</v>
      </c>
      <c r="D61" s="2" t="s">
        <v>98</v>
      </c>
      <c r="E61" s="18">
        <f t="shared" si="1"/>
        <v>-0.010843794626304174</v>
      </c>
      <c r="F61" s="18">
        <f t="shared" si="2"/>
        <v>0</v>
      </c>
      <c r="G61" s="18">
        <f t="shared" si="3"/>
        <v>-26.03145104456614</v>
      </c>
      <c r="H61" s="18">
        <f t="shared" si="4"/>
        <v>0</v>
      </c>
    </row>
    <row r="62" spans="1:8" ht="12" customHeight="1">
      <c r="A62" s="68"/>
      <c r="B62" s="4">
        <v>150</v>
      </c>
      <c r="C62" s="5" t="s">
        <v>103</v>
      </c>
      <c r="D62" s="2" t="s">
        <v>98</v>
      </c>
      <c r="E62" s="18">
        <f t="shared" si="1"/>
        <v>-0.024360573393207165</v>
      </c>
      <c r="F62" s="18">
        <f t="shared" si="2"/>
        <v>0</v>
      </c>
      <c r="G62" s="18">
        <f t="shared" si="3"/>
        <v>-22.523142642219426</v>
      </c>
      <c r="H62" s="18">
        <f t="shared" si="4"/>
        <v>0</v>
      </c>
    </row>
    <row r="63" spans="1:8" ht="12" customHeight="1">
      <c r="A63" s="68"/>
      <c r="B63" s="4">
        <v>200</v>
      </c>
      <c r="C63" s="5" t="s">
        <v>103</v>
      </c>
      <c r="D63" s="2" t="s">
        <v>98</v>
      </c>
      <c r="E63" s="18">
        <f t="shared" si="1"/>
        <v>-0.04321366518628702</v>
      </c>
      <c r="F63" s="18">
        <f t="shared" si="2"/>
        <v>0</v>
      </c>
      <c r="G63" s="18">
        <f t="shared" si="3"/>
        <v>-20.04322100184649</v>
      </c>
      <c r="H63" s="18">
        <f t="shared" si="4"/>
        <v>0</v>
      </c>
    </row>
    <row r="64" spans="1:8" ht="12" customHeight="1">
      <c r="A64" s="68"/>
      <c r="B64" s="4">
        <v>300</v>
      </c>
      <c r="C64" s="5" t="s">
        <v>103</v>
      </c>
      <c r="D64" s="2" t="s">
        <v>98</v>
      </c>
      <c r="E64" s="18">
        <f t="shared" si="1"/>
        <v>-0.09663300535152683</v>
      </c>
      <c r="F64" s="18">
        <f t="shared" si="2"/>
        <v>0</v>
      </c>
      <c r="G64" s="18">
        <f t="shared" si="3"/>
        <v>-16.574815160898112</v>
      </c>
      <c r="H64" s="18">
        <f t="shared" si="4"/>
        <v>0</v>
      </c>
    </row>
    <row r="65" spans="1:8" ht="12" customHeight="1">
      <c r="A65" s="68"/>
      <c r="B65" s="4">
        <v>400</v>
      </c>
      <c r="C65" s="5" t="s">
        <v>103</v>
      </c>
      <c r="D65" s="2" t="s">
        <v>98</v>
      </c>
      <c r="E65" s="18">
        <f t="shared" si="1"/>
        <v>-0.17033311080879368</v>
      </c>
      <c r="F65" s="18">
        <f t="shared" si="2"/>
        <v>0</v>
      </c>
      <c r="G65" s="18">
        <f t="shared" si="3"/>
        <v>-14.149740534189377</v>
      </c>
      <c r="H65" s="18">
        <f t="shared" si="4"/>
        <v>0</v>
      </c>
    </row>
    <row r="66" spans="1:8" ht="12" customHeight="1">
      <c r="A66" s="68"/>
      <c r="B66" s="4">
        <v>500</v>
      </c>
      <c r="C66" s="5" t="s">
        <v>103</v>
      </c>
      <c r="D66" s="2" t="s">
        <v>98</v>
      </c>
      <c r="E66" s="18">
        <f t="shared" si="1"/>
        <v>-0.2632889556555861</v>
      </c>
      <c r="F66" s="18">
        <f t="shared" si="2"/>
        <v>0</v>
      </c>
      <c r="G66" s="18">
        <f t="shared" si="3"/>
        <v>-12.30449611887505</v>
      </c>
      <c r="H66" s="18">
        <f t="shared" si="4"/>
        <v>0</v>
      </c>
    </row>
    <row r="67" spans="1:8" ht="12" customHeight="1">
      <c r="A67" s="68"/>
      <c r="B67" s="4">
        <v>700</v>
      </c>
      <c r="C67" s="5" t="s">
        <v>103</v>
      </c>
      <c r="D67" s="2" t="s">
        <v>98</v>
      </c>
      <c r="E67" s="18">
        <f t="shared" si="1"/>
        <v>-0.5018626960941864</v>
      </c>
      <c r="F67" s="18">
        <f t="shared" si="2"/>
        <v>0</v>
      </c>
      <c r="G67" s="18">
        <f t="shared" si="3"/>
        <v>-9.620509145748883</v>
      </c>
      <c r="H67" s="18">
        <f t="shared" si="4"/>
        <v>0</v>
      </c>
    </row>
    <row r="68" spans="1:8" ht="12" customHeight="1">
      <c r="A68" s="68"/>
      <c r="B68" s="4" t="s">
        <v>25</v>
      </c>
      <c r="C68" s="5" t="s">
        <v>103</v>
      </c>
      <c r="D68" s="2" t="s">
        <v>98</v>
      </c>
      <c r="E68" s="18">
        <f t="shared" si="1"/>
        <v>-0.9690986627495137</v>
      </c>
      <c r="F68" s="18">
        <f t="shared" si="2"/>
        <v>0</v>
      </c>
      <c r="G68" s="18">
        <f t="shared" si="3"/>
        <v>-6.989705912689345</v>
      </c>
      <c r="H68" s="18">
        <f t="shared" si="4"/>
        <v>0</v>
      </c>
    </row>
    <row r="69" spans="1:8" ht="12" customHeight="1">
      <c r="A69" s="68"/>
      <c r="B69" s="4" t="s">
        <v>26</v>
      </c>
      <c r="C69" s="5" t="s">
        <v>103</v>
      </c>
      <c r="D69" s="2" t="s">
        <v>98</v>
      </c>
      <c r="E69" s="18">
        <f t="shared" si="1"/>
        <v>-1.9381976189648806</v>
      </c>
      <c r="F69" s="18">
        <f t="shared" si="2"/>
        <v>0</v>
      </c>
      <c r="G69" s="18">
        <f t="shared" si="3"/>
        <v>-4.436979687791094</v>
      </c>
      <c r="H69" s="18">
        <f t="shared" si="4"/>
        <v>0</v>
      </c>
    </row>
    <row r="70" spans="1:8" ht="12" customHeight="1">
      <c r="A70" s="68"/>
      <c r="B70" s="4" t="s">
        <v>27</v>
      </c>
      <c r="C70" s="5" t="s">
        <v>103</v>
      </c>
      <c r="D70" s="2" t="s">
        <v>98</v>
      </c>
      <c r="E70" s="18">
        <f t="shared" si="1"/>
        <v>-3.0102962883112565</v>
      </c>
      <c r="F70" s="18">
        <f t="shared" si="2"/>
        <v>0</v>
      </c>
      <c r="G70" s="18">
        <f t="shared" si="3"/>
        <v>-3.0103036249714705</v>
      </c>
      <c r="H70" s="18">
        <f t="shared" si="4"/>
        <v>0</v>
      </c>
    </row>
    <row r="71" spans="1:8" ht="12" customHeight="1">
      <c r="A71" s="68"/>
      <c r="B71" s="4" t="s">
        <v>28</v>
      </c>
      <c r="C71" s="5" t="s">
        <v>103</v>
      </c>
      <c r="D71" s="2" t="s">
        <v>98</v>
      </c>
      <c r="E71" s="18">
        <f t="shared" si="1"/>
        <v>-5.118828530563764</v>
      </c>
      <c r="F71" s="18">
        <f t="shared" si="2"/>
        <v>0</v>
      </c>
      <c r="G71" s="18">
        <f t="shared" si="3"/>
        <v>-1.5970106861103517</v>
      </c>
      <c r="H71" s="18">
        <f t="shared" si="4"/>
        <v>0</v>
      </c>
    </row>
    <row r="72" spans="1:8" ht="12" customHeight="1">
      <c r="A72" s="68"/>
      <c r="B72" s="4" t="s">
        <v>29</v>
      </c>
      <c r="C72" s="5" t="s">
        <v>103</v>
      </c>
      <c r="D72" s="2" t="s">
        <v>98</v>
      </c>
      <c r="E72" s="18">
        <f t="shared" si="1"/>
        <v>-6.98969417403301</v>
      </c>
      <c r="F72" s="18">
        <f t="shared" si="2"/>
        <v>0</v>
      </c>
      <c r="G72" s="18">
        <f t="shared" si="3"/>
        <v>-0.9691015974135979</v>
      </c>
      <c r="H72" s="18">
        <f t="shared" si="4"/>
        <v>0</v>
      </c>
    </row>
    <row r="73" spans="1:8" ht="12" customHeight="1">
      <c r="A73" s="68"/>
      <c r="B73" s="4" t="s">
        <v>30</v>
      </c>
      <c r="C73" s="5" t="s">
        <v>103</v>
      </c>
      <c r="D73" s="2" t="s">
        <v>98</v>
      </c>
      <c r="E73" s="18">
        <f t="shared" si="1"/>
        <v>-8.603373741003594</v>
      </c>
      <c r="F73" s="18">
        <f t="shared" si="2"/>
        <v>0</v>
      </c>
      <c r="G73" s="18">
        <f t="shared" si="3"/>
        <v>-0.6445809042230479</v>
      </c>
      <c r="H73" s="18">
        <f t="shared" si="4"/>
        <v>0</v>
      </c>
    </row>
    <row r="74" spans="1:8" ht="12" customHeight="1">
      <c r="A74" s="68"/>
      <c r="B74" s="4" t="s">
        <v>31</v>
      </c>
      <c r="C74" s="5" t="s">
        <v>103</v>
      </c>
      <c r="D74" s="2" t="s">
        <v>98</v>
      </c>
      <c r="E74" s="18">
        <f t="shared" si="1"/>
        <v>-11.222151999778694</v>
      </c>
      <c r="F74" s="18">
        <f t="shared" si="2"/>
        <v>0</v>
      </c>
      <c r="G74" s="18">
        <f t="shared" si="3"/>
        <v>-0.3407984494333931</v>
      </c>
      <c r="H74" s="18">
        <f t="shared" si="4"/>
        <v>0</v>
      </c>
    </row>
    <row r="75" spans="1:8" ht="12" customHeight="1">
      <c r="A75" s="68"/>
      <c r="B75" s="4" t="s">
        <v>32</v>
      </c>
      <c r="C75" s="5" t="s">
        <v>103</v>
      </c>
      <c r="D75" s="2" t="s">
        <v>98</v>
      </c>
      <c r="E75" s="18">
        <f t="shared" si="1"/>
        <v>-14.149726425227435</v>
      </c>
      <c r="F75" s="18">
        <f t="shared" si="2"/>
        <v>0</v>
      </c>
      <c r="G75" s="18">
        <f t="shared" si="3"/>
        <v>-0.17033367516727083</v>
      </c>
      <c r="H75" s="18">
        <f t="shared" si="4"/>
        <v>0</v>
      </c>
    </row>
    <row r="76" spans="1:8" ht="12" customHeight="1">
      <c r="A76" s="68"/>
      <c r="B76" s="4" t="s">
        <v>33</v>
      </c>
      <c r="C76" s="5" t="s">
        <v>103</v>
      </c>
      <c r="D76" s="2" t="s">
        <v>98</v>
      </c>
      <c r="E76" s="18">
        <f t="shared" si="1"/>
        <v>-17.57774770161042</v>
      </c>
      <c r="F76" s="18">
        <f t="shared" si="2"/>
        <v>0</v>
      </c>
      <c r="G76" s="18">
        <f t="shared" si="3"/>
        <v>-0.07652977043663611</v>
      </c>
      <c r="H76" s="18">
        <f t="shared" si="4"/>
        <v>0</v>
      </c>
    </row>
    <row r="77" spans="1:8" ht="12" customHeight="1">
      <c r="A77" s="69"/>
      <c r="B77" s="4" t="s">
        <v>34</v>
      </c>
      <c r="C77" s="5" t="s">
        <v>103</v>
      </c>
      <c r="D77" s="2" t="s">
        <v>98</v>
      </c>
      <c r="E77" s="18">
        <f t="shared" si="1"/>
        <v>-20.043206473806478</v>
      </c>
      <c r="F77" s="18">
        <f t="shared" si="2"/>
        <v>0</v>
      </c>
      <c r="G77" s="18">
        <f t="shared" si="3"/>
        <v>-0.043213810466681934</v>
      </c>
      <c r="H77" s="18">
        <f t="shared" si="4"/>
        <v>0</v>
      </c>
    </row>
    <row r="78" spans="1:8" ht="12" customHeight="1">
      <c r="A78" s="67" t="s">
        <v>94</v>
      </c>
      <c r="B78" s="4">
        <v>20</v>
      </c>
      <c r="C78" s="5" t="s">
        <v>103</v>
      </c>
      <c r="D78" s="2" t="s">
        <v>97</v>
      </c>
      <c r="E78" s="34">
        <f>IF(E166="",0,180/PI()*ATAN(-E$31/E166))+IF(E$19=1,180,0)</f>
        <v>-0.572938213775131</v>
      </c>
      <c r="F78" s="34">
        <f>IF(F100="",0,180/PI()*ATAN(F$31/F100))+IF(F166="",0,180/PI()*ATAN(-F$31/F166))+IF(F$19=1,180,0)</f>
        <v>0</v>
      </c>
      <c r="G78" s="34">
        <f>IF(G100="",0,180/PI()*ATAN(G$31/G100))+IF(G166="",0,180/PI()*ATAN(-G$31/G166))+IF(G$19=1,-180,0)</f>
        <v>-90.57293821377512</v>
      </c>
      <c r="H78" s="34">
        <f>IF(H100="",0,180/PI()*ATAN(H$31/H100))+IF(H$19=1,-180,0)</f>
        <v>0</v>
      </c>
    </row>
    <row r="79" spans="1:8" ht="12" customHeight="1">
      <c r="A79" s="68"/>
      <c r="B79" s="4">
        <v>30</v>
      </c>
      <c r="C79" s="5" t="s">
        <v>103</v>
      </c>
      <c r="D79" s="2" t="s">
        <v>97</v>
      </c>
      <c r="E79" s="34">
        <f aca="true" t="shared" si="5" ref="E79:E99">IF(E167="",0,180/PI()*ATAN(-E$31/E167))+IF(E$19=1,180,0)</f>
        <v>-0.8593715178728607</v>
      </c>
      <c r="F79" s="34">
        <f aca="true" t="shared" si="6" ref="F79:F99">IF(F101="",0,180/PI()*ATAN(F$31/F101))+IF(F167="",0,180/PI()*ATAN(-F$31/F167))+IF(F$19=1,180,0)</f>
        <v>0</v>
      </c>
      <c r="G79" s="34">
        <f aca="true" t="shared" si="7" ref="G79:G99">IF(G101="",0,180/PI()*ATAN(G$31/G101))+IF(G167="",0,180/PI()*ATAN(-G$31/G167))+IF(G$19=1,-180,0)</f>
        <v>-90.85937151787286</v>
      </c>
      <c r="H79" s="34">
        <f aca="true" t="shared" si="8" ref="H79:H99">IF(H101="",0,180/PI()*ATAN(H$31/H101))+IF(H$19=1,-180,0)</f>
        <v>0</v>
      </c>
    </row>
    <row r="80" spans="1:8" ht="12" customHeight="1">
      <c r="A80" s="68"/>
      <c r="B80" s="4">
        <v>40</v>
      </c>
      <c r="C80" s="5" t="s">
        <v>103</v>
      </c>
      <c r="D80" s="2" t="s">
        <v>97</v>
      </c>
      <c r="E80" s="34">
        <f t="shared" si="5"/>
        <v>-1.1457618706486221</v>
      </c>
      <c r="F80" s="34">
        <f t="shared" si="6"/>
        <v>0</v>
      </c>
      <c r="G80" s="34">
        <f t="shared" si="7"/>
        <v>-91.14576187064863</v>
      </c>
      <c r="H80" s="34">
        <f t="shared" si="8"/>
        <v>0</v>
      </c>
    </row>
    <row r="81" spans="1:8" ht="12" customHeight="1">
      <c r="A81" s="68"/>
      <c r="B81" s="4">
        <v>50</v>
      </c>
      <c r="C81" s="5" t="s">
        <v>103</v>
      </c>
      <c r="D81" s="2" t="s">
        <v>97</v>
      </c>
      <c r="E81" s="34">
        <f t="shared" si="5"/>
        <v>-1.4320949750284917</v>
      </c>
      <c r="F81" s="34">
        <f t="shared" si="6"/>
        <v>0</v>
      </c>
      <c r="G81" s="34">
        <f t="shared" si="7"/>
        <v>-91.43209497502849</v>
      </c>
      <c r="H81" s="34">
        <f t="shared" si="8"/>
        <v>0</v>
      </c>
    </row>
    <row r="82" spans="1:8" ht="12" customHeight="1">
      <c r="A82" s="68"/>
      <c r="B82" s="4">
        <v>70</v>
      </c>
      <c r="C82" s="5" t="s">
        <v>103</v>
      </c>
      <c r="D82" s="2" t="s">
        <v>97</v>
      </c>
      <c r="E82" s="34">
        <f t="shared" si="5"/>
        <v>-2.0045323403297184</v>
      </c>
      <c r="F82" s="34">
        <f t="shared" si="6"/>
        <v>0</v>
      </c>
      <c r="G82" s="34">
        <f t="shared" si="7"/>
        <v>-92.00453234032972</v>
      </c>
      <c r="H82" s="34">
        <f t="shared" si="8"/>
        <v>0</v>
      </c>
    </row>
    <row r="83" spans="1:8" ht="12" customHeight="1">
      <c r="A83" s="68"/>
      <c r="B83" s="4">
        <v>100</v>
      </c>
      <c r="C83" s="5" t="s">
        <v>103</v>
      </c>
      <c r="D83" s="2" t="s">
        <v>97</v>
      </c>
      <c r="E83" s="34">
        <f t="shared" si="5"/>
        <v>-2.8624028123623875</v>
      </c>
      <c r="F83" s="34">
        <f t="shared" si="6"/>
        <v>0</v>
      </c>
      <c r="G83" s="34">
        <f t="shared" si="7"/>
        <v>-92.86240281236239</v>
      </c>
      <c r="H83" s="34">
        <f t="shared" si="8"/>
        <v>0</v>
      </c>
    </row>
    <row r="84" spans="1:8" ht="12" customHeight="1">
      <c r="A84" s="68"/>
      <c r="B84" s="4">
        <v>150</v>
      </c>
      <c r="C84" s="5" t="s">
        <v>103</v>
      </c>
      <c r="D84" s="2" t="s">
        <v>97</v>
      </c>
      <c r="E84" s="34">
        <f t="shared" si="5"/>
        <v>-4.289149719446131</v>
      </c>
      <c r="F84" s="34">
        <f t="shared" si="6"/>
        <v>0</v>
      </c>
      <c r="G84" s="34">
        <f t="shared" si="7"/>
        <v>-94.28914971944613</v>
      </c>
      <c r="H84" s="34">
        <f t="shared" si="8"/>
        <v>0</v>
      </c>
    </row>
    <row r="85" spans="1:8" ht="12" customHeight="1">
      <c r="A85" s="68"/>
      <c r="B85" s="4">
        <v>200</v>
      </c>
      <c r="C85" s="5" t="s">
        <v>103</v>
      </c>
      <c r="D85" s="2" t="s">
        <v>97</v>
      </c>
      <c r="E85" s="34">
        <f t="shared" si="5"/>
        <v>-5.710588345848656</v>
      </c>
      <c r="F85" s="34">
        <f t="shared" si="6"/>
        <v>0</v>
      </c>
      <c r="G85" s="34">
        <f t="shared" si="7"/>
        <v>-95.71058834584865</v>
      </c>
      <c r="H85" s="34">
        <f t="shared" si="8"/>
        <v>0</v>
      </c>
    </row>
    <row r="86" spans="1:8" ht="12" customHeight="1">
      <c r="A86" s="68"/>
      <c r="B86" s="4">
        <v>300</v>
      </c>
      <c r="C86" s="5" t="s">
        <v>103</v>
      </c>
      <c r="D86" s="2" t="s">
        <v>97</v>
      </c>
      <c r="E86" s="34">
        <f t="shared" si="5"/>
        <v>-8.530758510338039</v>
      </c>
      <c r="F86" s="34">
        <f t="shared" si="6"/>
        <v>0</v>
      </c>
      <c r="G86" s="34">
        <f t="shared" si="7"/>
        <v>-98.53075851033803</v>
      </c>
      <c r="H86" s="34">
        <f t="shared" si="8"/>
        <v>0</v>
      </c>
    </row>
    <row r="87" spans="1:8" ht="12" customHeight="1">
      <c r="A87" s="68"/>
      <c r="B87" s="4">
        <v>400</v>
      </c>
      <c r="C87" s="5" t="s">
        <v>103</v>
      </c>
      <c r="D87" s="2" t="s">
        <v>97</v>
      </c>
      <c r="E87" s="34">
        <f t="shared" si="5"/>
        <v>-11.309923167159416</v>
      </c>
      <c r="F87" s="34">
        <f t="shared" si="6"/>
        <v>0</v>
      </c>
      <c r="G87" s="34">
        <f t="shared" si="7"/>
        <v>-101.30992316715941</v>
      </c>
      <c r="H87" s="34">
        <f t="shared" si="8"/>
        <v>0</v>
      </c>
    </row>
    <row r="88" spans="1:8" ht="12" customHeight="1">
      <c r="A88" s="68"/>
      <c r="B88" s="4">
        <v>500</v>
      </c>
      <c r="C88" s="5" t="s">
        <v>103</v>
      </c>
      <c r="D88" s="2" t="s">
        <v>97</v>
      </c>
      <c r="E88" s="34">
        <f t="shared" si="5"/>
        <v>-14.036232080708363</v>
      </c>
      <c r="F88" s="34">
        <f t="shared" si="6"/>
        <v>0</v>
      </c>
      <c r="G88" s="34">
        <f t="shared" si="7"/>
        <v>-104.03623208070836</v>
      </c>
      <c r="H88" s="34">
        <f t="shared" si="8"/>
        <v>0</v>
      </c>
    </row>
    <row r="89" spans="1:8" ht="12" customHeight="1">
      <c r="A89" s="68"/>
      <c r="B89" s="4">
        <v>700</v>
      </c>
      <c r="C89" s="5" t="s">
        <v>103</v>
      </c>
      <c r="D89" s="2" t="s">
        <v>97</v>
      </c>
      <c r="E89" s="34">
        <f t="shared" si="5"/>
        <v>-19.290031129221997</v>
      </c>
      <c r="F89" s="34">
        <f t="shared" si="6"/>
        <v>0</v>
      </c>
      <c r="G89" s="34">
        <f t="shared" si="7"/>
        <v>-109.290031129222</v>
      </c>
      <c r="H89" s="34">
        <f t="shared" si="8"/>
        <v>0</v>
      </c>
    </row>
    <row r="90" spans="1:8" ht="12" customHeight="1">
      <c r="A90" s="68"/>
      <c r="B90" s="4" t="s">
        <v>5</v>
      </c>
      <c r="C90" s="5" t="s">
        <v>103</v>
      </c>
      <c r="D90" s="2" t="s">
        <v>97</v>
      </c>
      <c r="E90" s="34">
        <f t="shared" si="5"/>
        <v>-26.565031818804886</v>
      </c>
      <c r="F90" s="34">
        <f t="shared" si="6"/>
        <v>0</v>
      </c>
      <c r="G90" s="34">
        <f t="shared" si="7"/>
        <v>-116.56503181880488</v>
      </c>
      <c r="H90" s="34">
        <f t="shared" si="8"/>
        <v>0</v>
      </c>
    </row>
    <row r="91" spans="1:8" ht="12" customHeight="1">
      <c r="A91" s="68"/>
      <c r="B91" s="4" t="s">
        <v>6</v>
      </c>
      <c r="C91" s="5" t="s">
        <v>103</v>
      </c>
      <c r="D91" s="2" t="s">
        <v>97</v>
      </c>
      <c r="E91" s="34">
        <f t="shared" si="5"/>
        <v>-36.86987441591316</v>
      </c>
      <c r="F91" s="34">
        <f t="shared" si="6"/>
        <v>0</v>
      </c>
      <c r="G91" s="34">
        <f t="shared" si="7"/>
        <v>-126.86987441591316</v>
      </c>
      <c r="H91" s="34">
        <f t="shared" si="8"/>
        <v>0</v>
      </c>
    </row>
    <row r="92" spans="1:8" ht="12" customHeight="1">
      <c r="A92" s="68"/>
      <c r="B92" s="4" t="s">
        <v>7</v>
      </c>
      <c r="C92" s="5" t="s">
        <v>103</v>
      </c>
      <c r="D92" s="2" t="s">
        <v>97</v>
      </c>
      <c r="E92" s="34">
        <f t="shared" si="5"/>
        <v>-44.99997580215249</v>
      </c>
      <c r="F92" s="34">
        <f t="shared" si="6"/>
        <v>0</v>
      </c>
      <c r="G92" s="34">
        <f t="shared" si="7"/>
        <v>-134.9999758021525</v>
      </c>
      <c r="H92" s="34">
        <f t="shared" si="8"/>
        <v>0</v>
      </c>
    </row>
    <row r="93" spans="1:8" ht="12" customHeight="1">
      <c r="A93" s="68"/>
      <c r="B93" s="4" t="s">
        <v>8</v>
      </c>
      <c r="C93" s="5" t="s">
        <v>103</v>
      </c>
      <c r="D93" s="2" t="s">
        <v>97</v>
      </c>
      <c r="E93" s="34">
        <f t="shared" si="5"/>
        <v>-56.30991013754196</v>
      </c>
      <c r="F93" s="34">
        <f t="shared" si="6"/>
        <v>0</v>
      </c>
      <c r="G93" s="34">
        <f t="shared" si="7"/>
        <v>-146.30991013754198</v>
      </c>
      <c r="H93" s="34">
        <f t="shared" si="8"/>
        <v>0</v>
      </c>
    </row>
    <row r="94" spans="1:8" ht="12" customHeight="1">
      <c r="A94" s="68"/>
      <c r="B94" s="4" t="s">
        <v>9</v>
      </c>
      <c r="C94" s="5" t="s">
        <v>103</v>
      </c>
      <c r="D94" s="2" t="s">
        <v>97</v>
      </c>
      <c r="E94" s="34">
        <f t="shared" si="5"/>
        <v>-63.434929464639104</v>
      </c>
      <c r="F94" s="34">
        <f t="shared" si="6"/>
        <v>0</v>
      </c>
      <c r="G94" s="34">
        <f t="shared" si="7"/>
        <v>-153.43492946463908</v>
      </c>
      <c r="H94" s="34">
        <f t="shared" si="8"/>
        <v>0</v>
      </c>
    </row>
    <row r="95" spans="1:8" ht="12" customHeight="1">
      <c r="A95" s="68"/>
      <c r="B95" s="4" t="s">
        <v>10</v>
      </c>
      <c r="C95" s="5" t="s">
        <v>103</v>
      </c>
      <c r="D95" s="2" t="s">
        <v>97</v>
      </c>
      <c r="E95" s="34">
        <f t="shared" si="5"/>
        <v>-68.1985738254724</v>
      </c>
      <c r="F95" s="34">
        <f t="shared" si="6"/>
        <v>0</v>
      </c>
      <c r="G95" s="34">
        <f t="shared" si="7"/>
        <v>-158.19857382547238</v>
      </c>
      <c r="H95" s="34">
        <f t="shared" si="8"/>
        <v>0</v>
      </c>
    </row>
    <row r="96" spans="1:8" ht="12" customHeight="1">
      <c r="A96" s="68"/>
      <c r="B96" s="4" t="s">
        <v>11</v>
      </c>
      <c r="C96" s="5" t="s">
        <v>103</v>
      </c>
      <c r="D96" s="2" t="s">
        <v>97</v>
      </c>
      <c r="E96" s="34">
        <f t="shared" si="5"/>
        <v>-74.05459131530407</v>
      </c>
      <c r="F96" s="34">
        <f t="shared" si="6"/>
        <v>0</v>
      </c>
      <c r="G96" s="34">
        <f t="shared" si="7"/>
        <v>-164.05459131530407</v>
      </c>
      <c r="H96" s="34">
        <f t="shared" si="8"/>
        <v>0</v>
      </c>
    </row>
    <row r="97" spans="1:8" ht="12" customHeight="1">
      <c r="A97" s="68"/>
      <c r="B97" s="4" t="s">
        <v>12</v>
      </c>
      <c r="C97" s="5" t="s">
        <v>103</v>
      </c>
      <c r="D97" s="2" t="s">
        <v>97</v>
      </c>
      <c r="E97" s="34">
        <f t="shared" si="5"/>
        <v>-78.69005821911173</v>
      </c>
      <c r="F97" s="34">
        <f t="shared" si="6"/>
        <v>0</v>
      </c>
      <c r="G97" s="34">
        <f t="shared" si="7"/>
        <v>-168.69005821911173</v>
      </c>
      <c r="H97" s="34">
        <f t="shared" si="8"/>
        <v>0</v>
      </c>
    </row>
    <row r="98" spans="1:8" ht="12" customHeight="1">
      <c r="A98" s="68"/>
      <c r="B98" s="4" t="s">
        <v>13</v>
      </c>
      <c r="C98" s="5" t="s">
        <v>103</v>
      </c>
      <c r="D98" s="2" t="s">
        <v>97</v>
      </c>
      <c r="E98" s="34">
        <f t="shared" si="5"/>
        <v>-82.40535029135859</v>
      </c>
      <c r="F98" s="34">
        <f t="shared" si="6"/>
        <v>0</v>
      </c>
      <c r="G98" s="34">
        <f t="shared" si="7"/>
        <v>-172.4053502913586</v>
      </c>
      <c r="H98" s="34">
        <f t="shared" si="8"/>
        <v>0</v>
      </c>
    </row>
    <row r="99" spans="1:8" ht="12" customHeight="1">
      <c r="A99" s="69"/>
      <c r="B99" s="4" t="s">
        <v>14</v>
      </c>
      <c r="C99" s="5" t="s">
        <v>103</v>
      </c>
      <c r="D99" s="2" t="s">
        <v>97</v>
      </c>
      <c r="E99" s="34">
        <f t="shared" si="5"/>
        <v>-84.28940207084541</v>
      </c>
      <c r="F99" s="34">
        <f t="shared" si="6"/>
        <v>0</v>
      </c>
      <c r="G99" s="34">
        <f t="shared" si="7"/>
        <v>-174.2894020708454</v>
      </c>
      <c r="H99" s="34">
        <f t="shared" si="8"/>
        <v>0</v>
      </c>
    </row>
    <row r="100" spans="1:8" ht="12" customHeight="1">
      <c r="A100" s="67" t="s">
        <v>165</v>
      </c>
      <c r="B100" s="4">
        <v>20</v>
      </c>
      <c r="C100" s="5" t="s">
        <v>103</v>
      </c>
      <c r="D100" s="2" t="s">
        <v>164</v>
      </c>
      <c r="E100" s="6">
        <f aca="true" t="shared" si="9" ref="E100:E121">IF(E$24="","",2*3.14159*$B100*E$24*0.001)</f>
        <v>0.059999949320168104</v>
      </c>
      <c r="F100" s="6">
        <f aca="true" t="shared" si="10" ref="F100:H121">IF(F$22="","",2*3.14159*$B100*F$22*0.001)</f>
      </c>
      <c r="G100" s="6">
        <f t="shared" si="10"/>
        <v>0.059999949320168104</v>
      </c>
      <c r="H100" s="6">
        <f t="shared" si="10"/>
      </c>
    </row>
    <row r="101" spans="1:8" ht="12" customHeight="1">
      <c r="A101" s="68"/>
      <c r="B101" s="4">
        <v>30</v>
      </c>
      <c r="C101" s="5" t="s">
        <v>103</v>
      </c>
      <c r="D101" s="2" t="s">
        <v>164</v>
      </c>
      <c r="E101" s="6">
        <f t="shared" si="9"/>
        <v>0.08999992398025215</v>
      </c>
      <c r="F101" s="6">
        <f t="shared" si="10"/>
      </c>
      <c r="G101" s="6">
        <f t="shared" si="10"/>
        <v>0.08999992398025215</v>
      </c>
      <c r="H101" s="6">
        <f t="shared" si="10"/>
      </c>
    </row>
    <row r="102" spans="1:8" ht="12" customHeight="1">
      <c r="A102" s="68"/>
      <c r="B102" s="4">
        <v>40</v>
      </c>
      <c r="C102" s="5" t="s">
        <v>103</v>
      </c>
      <c r="D102" s="2" t="s">
        <v>164</v>
      </c>
      <c r="E102" s="6">
        <f t="shared" si="9"/>
        <v>0.11999989864033621</v>
      </c>
      <c r="F102" s="6">
        <f t="shared" si="10"/>
      </c>
      <c r="G102" s="6">
        <f t="shared" si="10"/>
        <v>0.11999989864033621</v>
      </c>
      <c r="H102" s="6">
        <f t="shared" si="10"/>
      </c>
    </row>
    <row r="103" spans="1:8" ht="12" customHeight="1">
      <c r="A103" s="68"/>
      <c r="B103" s="4">
        <v>50</v>
      </c>
      <c r="C103" s="5" t="s">
        <v>103</v>
      </c>
      <c r="D103" s="2" t="s">
        <v>164</v>
      </c>
      <c r="E103" s="6">
        <f t="shared" si="9"/>
        <v>0.14999987330042028</v>
      </c>
      <c r="F103" s="6">
        <f t="shared" si="10"/>
      </c>
      <c r="G103" s="6">
        <f t="shared" si="10"/>
        <v>0.14999987330042028</v>
      </c>
      <c r="H103" s="6">
        <f t="shared" si="10"/>
      </c>
    </row>
    <row r="104" spans="1:8" ht="12" customHeight="1">
      <c r="A104" s="68"/>
      <c r="B104" s="4">
        <v>70</v>
      </c>
      <c r="C104" s="5" t="s">
        <v>103</v>
      </c>
      <c r="D104" s="2" t="s">
        <v>164</v>
      </c>
      <c r="E104" s="6">
        <f t="shared" si="9"/>
        <v>0.20999982262058833</v>
      </c>
      <c r="F104" s="6">
        <f t="shared" si="10"/>
      </c>
      <c r="G104" s="6">
        <f t="shared" si="10"/>
        <v>0.20999982262058833</v>
      </c>
      <c r="H104" s="6">
        <f t="shared" si="10"/>
      </c>
    </row>
    <row r="105" spans="1:8" ht="12" customHeight="1">
      <c r="A105" s="68"/>
      <c r="B105" s="4">
        <v>100</v>
      </c>
      <c r="C105" s="5" t="s">
        <v>103</v>
      </c>
      <c r="D105" s="2" t="s">
        <v>164</v>
      </c>
      <c r="E105" s="6">
        <f t="shared" si="9"/>
        <v>0.29999974660084056</v>
      </c>
      <c r="F105" s="6">
        <f t="shared" si="10"/>
      </c>
      <c r="G105" s="6">
        <f t="shared" si="10"/>
        <v>0.29999974660084056</v>
      </c>
      <c r="H105" s="6">
        <f t="shared" si="10"/>
      </c>
    </row>
    <row r="106" spans="1:8" ht="12" customHeight="1">
      <c r="A106" s="68"/>
      <c r="B106" s="4">
        <v>150</v>
      </c>
      <c r="C106" s="5" t="s">
        <v>103</v>
      </c>
      <c r="D106" s="2" t="s">
        <v>164</v>
      </c>
      <c r="E106" s="6">
        <f t="shared" si="9"/>
        <v>0.44999961990126075</v>
      </c>
      <c r="F106" s="6">
        <f t="shared" si="10"/>
      </c>
      <c r="G106" s="6">
        <f t="shared" si="10"/>
        <v>0.44999961990126075</v>
      </c>
      <c r="H106" s="6">
        <f t="shared" si="10"/>
      </c>
    </row>
    <row r="107" spans="1:8" ht="12" customHeight="1">
      <c r="A107" s="68"/>
      <c r="B107" s="4">
        <v>200</v>
      </c>
      <c r="C107" s="5" t="s">
        <v>103</v>
      </c>
      <c r="D107" s="2" t="s">
        <v>164</v>
      </c>
      <c r="E107" s="6">
        <f t="shared" si="9"/>
        <v>0.5999994932016811</v>
      </c>
      <c r="F107" s="6">
        <f t="shared" si="10"/>
      </c>
      <c r="G107" s="6">
        <f t="shared" si="10"/>
        <v>0.5999994932016811</v>
      </c>
      <c r="H107" s="6">
        <f t="shared" si="10"/>
      </c>
    </row>
    <row r="108" spans="1:8" ht="12" customHeight="1">
      <c r="A108" s="68"/>
      <c r="B108" s="4">
        <v>300</v>
      </c>
      <c r="C108" s="5" t="s">
        <v>103</v>
      </c>
      <c r="D108" s="2" t="s">
        <v>164</v>
      </c>
      <c r="E108" s="6">
        <f t="shared" si="9"/>
        <v>0.8999992398025215</v>
      </c>
      <c r="F108" s="6">
        <f t="shared" si="10"/>
      </c>
      <c r="G108" s="6">
        <f t="shared" si="10"/>
        <v>0.8999992398025215</v>
      </c>
      <c r="H108" s="6">
        <f t="shared" si="10"/>
      </c>
    </row>
    <row r="109" spans="1:8" ht="12" customHeight="1">
      <c r="A109" s="68"/>
      <c r="B109" s="4">
        <v>400</v>
      </c>
      <c r="C109" s="5" t="s">
        <v>103</v>
      </c>
      <c r="D109" s="2" t="s">
        <v>164</v>
      </c>
      <c r="E109" s="6">
        <f t="shared" si="9"/>
        <v>1.1999989864033622</v>
      </c>
      <c r="F109" s="6">
        <f t="shared" si="10"/>
      </c>
      <c r="G109" s="6">
        <f t="shared" si="10"/>
        <v>1.1999989864033622</v>
      </c>
      <c r="H109" s="6">
        <f t="shared" si="10"/>
      </c>
    </row>
    <row r="110" spans="1:8" ht="12" customHeight="1">
      <c r="A110" s="68"/>
      <c r="B110" s="4">
        <v>500</v>
      </c>
      <c r="C110" s="5" t="s">
        <v>103</v>
      </c>
      <c r="D110" s="2" t="s">
        <v>164</v>
      </c>
      <c r="E110" s="6">
        <f t="shared" si="9"/>
        <v>1.4999987330042024</v>
      </c>
      <c r="F110" s="6">
        <f t="shared" si="10"/>
      </c>
      <c r="G110" s="6">
        <f t="shared" si="10"/>
        <v>1.4999987330042024</v>
      </c>
      <c r="H110" s="6">
        <f t="shared" si="10"/>
      </c>
    </row>
    <row r="111" spans="1:8" ht="12" customHeight="1">
      <c r="A111" s="68"/>
      <c r="B111" s="4">
        <v>700</v>
      </c>
      <c r="C111" s="5" t="s">
        <v>103</v>
      </c>
      <c r="D111" s="2" t="s">
        <v>164</v>
      </c>
      <c r="E111" s="6">
        <f t="shared" si="9"/>
        <v>2.0999982262058836</v>
      </c>
      <c r="F111" s="6">
        <f t="shared" si="10"/>
      </c>
      <c r="G111" s="6">
        <f t="shared" si="10"/>
        <v>2.0999982262058836</v>
      </c>
      <c r="H111" s="6">
        <f t="shared" si="10"/>
      </c>
    </row>
    <row r="112" spans="1:8" ht="12" customHeight="1">
      <c r="A112" s="68"/>
      <c r="B112" s="4">
        <v>1000</v>
      </c>
      <c r="C112" s="5" t="s">
        <v>103</v>
      </c>
      <c r="D112" s="2" t="s">
        <v>164</v>
      </c>
      <c r="E112" s="6">
        <f t="shared" si="9"/>
        <v>2.999997466008405</v>
      </c>
      <c r="F112" s="6">
        <f t="shared" si="10"/>
      </c>
      <c r="G112" s="6">
        <f t="shared" si="10"/>
        <v>2.999997466008405</v>
      </c>
      <c r="H112" s="6">
        <f t="shared" si="10"/>
      </c>
    </row>
    <row r="113" spans="1:8" ht="12" customHeight="1">
      <c r="A113" s="68"/>
      <c r="B113" s="4">
        <v>1500</v>
      </c>
      <c r="C113" s="5" t="s">
        <v>103</v>
      </c>
      <c r="D113" s="2" t="s">
        <v>164</v>
      </c>
      <c r="E113" s="6">
        <f t="shared" si="9"/>
        <v>4.499996199012608</v>
      </c>
      <c r="F113" s="6">
        <f t="shared" si="10"/>
      </c>
      <c r="G113" s="6">
        <f t="shared" si="10"/>
        <v>4.499996199012608</v>
      </c>
      <c r="H113" s="6">
        <f t="shared" si="10"/>
      </c>
    </row>
    <row r="114" spans="1:8" ht="12" customHeight="1">
      <c r="A114" s="68"/>
      <c r="B114" s="4">
        <v>2000</v>
      </c>
      <c r="C114" s="5" t="s">
        <v>103</v>
      </c>
      <c r="D114" s="2" t="s">
        <v>164</v>
      </c>
      <c r="E114" s="6">
        <f t="shared" si="9"/>
        <v>5.99999493201681</v>
      </c>
      <c r="F114" s="6">
        <f t="shared" si="10"/>
      </c>
      <c r="G114" s="6">
        <f t="shared" si="10"/>
        <v>5.99999493201681</v>
      </c>
      <c r="H114" s="6">
        <f t="shared" si="10"/>
      </c>
    </row>
    <row r="115" spans="1:8" ht="12" customHeight="1">
      <c r="A115" s="68"/>
      <c r="B115" s="4">
        <v>3000</v>
      </c>
      <c r="C115" s="5" t="s">
        <v>103</v>
      </c>
      <c r="D115" s="2" t="s">
        <v>164</v>
      </c>
      <c r="E115" s="6">
        <f t="shared" si="9"/>
        <v>8.999992398025215</v>
      </c>
      <c r="F115" s="6">
        <f t="shared" si="10"/>
      </c>
      <c r="G115" s="6">
        <f t="shared" si="10"/>
        <v>8.999992398025215</v>
      </c>
      <c r="H115" s="6">
        <f t="shared" si="10"/>
      </c>
    </row>
    <row r="116" spans="1:8" ht="12" customHeight="1">
      <c r="A116" s="68"/>
      <c r="B116" s="4">
        <v>4000</v>
      </c>
      <c r="C116" s="5" t="s">
        <v>103</v>
      </c>
      <c r="D116" s="2" t="s">
        <v>164</v>
      </c>
      <c r="E116" s="6">
        <f t="shared" si="9"/>
        <v>11.99998986403362</v>
      </c>
      <c r="F116" s="6">
        <f t="shared" si="10"/>
      </c>
      <c r="G116" s="6">
        <f t="shared" si="10"/>
        <v>11.99998986403362</v>
      </c>
      <c r="H116" s="6">
        <f t="shared" si="10"/>
      </c>
    </row>
    <row r="117" spans="1:8" ht="12" customHeight="1">
      <c r="A117" s="68"/>
      <c r="B117" s="4">
        <v>5000</v>
      </c>
      <c r="C117" s="5" t="s">
        <v>103</v>
      </c>
      <c r="D117" s="2" t="s">
        <v>164</v>
      </c>
      <c r="E117" s="6">
        <f t="shared" si="9"/>
        <v>14.999987330042025</v>
      </c>
      <c r="F117" s="6">
        <f t="shared" si="10"/>
      </c>
      <c r="G117" s="6">
        <f t="shared" si="10"/>
        <v>14.999987330042025</v>
      </c>
      <c r="H117" s="6">
        <f t="shared" si="10"/>
      </c>
    </row>
    <row r="118" spans="1:8" ht="12" customHeight="1">
      <c r="A118" s="68"/>
      <c r="B118" s="4">
        <v>7000</v>
      </c>
      <c r="C118" s="5" t="s">
        <v>103</v>
      </c>
      <c r="D118" s="2" t="s">
        <v>164</v>
      </c>
      <c r="E118" s="6">
        <f t="shared" si="9"/>
        <v>20.999982262058836</v>
      </c>
      <c r="F118" s="6">
        <f t="shared" si="10"/>
      </c>
      <c r="G118" s="6">
        <f t="shared" si="10"/>
        <v>20.999982262058836</v>
      </c>
      <c r="H118" s="6">
        <f t="shared" si="10"/>
      </c>
    </row>
    <row r="119" spans="1:8" ht="12" customHeight="1">
      <c r="A119" s="68"/>
      <c r="B119" s="4">
        <v>10000</v>
      </c>
      <c r="C119" s="5" t="s">
        <v>103</v>
      </c>
      <c r="D119" s="2" t="s">
        <v>164</v>
      </c>
      <c r="E119" s="6">
        <f t="shared" si="9"/>
        <v>29.99997466008405</v>
      </c>
      <c r="F119" s="6">
        <f t="shared" si="10"/>
      </c>
      <c r="G119" s="6">
        <f t="shared" si="10"/>
        <v>29.99997466008405</v>
      </c>
      <c r="H119" s="6">
        <f t="shared" si="10"/>
      </c>
    </row>
    <row r="120" spans="1:8" ht="12" customHeight="1">
      <c r="A120" s="68"/>
      <c r="B120" s="4">
        <v>15000</v>
      </c>
      <c r="C120" s="5" t="s">
        <v>103</v>
      </c>
      <c r="D120" s="2" t="s">
        <v>164</v>
      </c>
      <c r="E120" s="6">
        <f t="shared" si="9"/>
        <v>44.999961990126074</v>
      </c>
      <c r="F120" s="6">
        <f t="shared" si="10"/>
      </c>
      <c r="G120" s="6">
        <f t="shared" si="10"/>
        <v>44.999961990126074</v>
      </c>
      <c r="H120" s="6">
        <f t="shared" si="10"/>
      </c>
    </row>
    <row r="121" spans="1:8" ht="12" customHeight="1">
      <c r="A121" s="69"/>
      <c r="B121" s="4">
        <v>20000</v>
      </c>
      <c r="C121" s="5" t="s">
        <v>103</v>
      </c>
      <c r="D121" s="2" t="s">
        <v>164</v>
      </c>
      <c r="E121" s="6">
        <f t="shared" si="9"/>
        <v>59.9999493201681</v>
      </c>
      <c r="F121" s="6">
        <f t="shared" si="10"/>
      </c>
      <c r="G121" s="6">
        <f t="shared" si="10"/>
        <v>59.9999493201681</v>
      </c>
      <c r="H121" s="6">
        <f t="shared" si="10"/>
      </c>
    </row>
    <row r="122" spans="1:8" ht="12" customHeight="1">
      <c r="A122" s="67" t="s">
        <v>166</v>
      </c>
      <c r="B122" s="4">
        <v>20</v>
      </c>
      <c r="C122" s="5" t="s">
        <v>103</v>
      </c>
      <c r="D122" s="2" t="s">
        <v>164</v>
      </c>
      <c r="E122" s="6">
        <f aca="true" t="shared" si="11" ref="E122:E143">IF(E$25="","",1/(2*3.14159*$B100*E$25/1000000))</f>
        <v>600.0005067987471</v>
      </c>
      <c r="F122" s="6">
        <f aca="true" t="shared" si="12" ref="F122:H143">IF(F$23="","",1/(2*3.14159*$B100*F$23/1000000))</f>
      </c>
      <c r="G122" s="6">
        <f t="shared" si="12"/>
        <v>600.0005067987471</v>
      </c>
      <c r="H122" s="6">
        <f t="shared" si="12"/>
      </c>
    </row>
    <row r="123" spans="1:8" ht="12" customHeight="1">
      <c r="A123" s="68"/>
      <c r="B123" s="4">
        <v>30</v>
      </c>
      <c r="C123" s="5" t="s">
        <v>103</v>
      </c>
      <c r="D123" s="2" t="s">
        <v>164</v>
      </c>
      <c r="E123" s="6">
        <f t="shared" si="11"/>
        <v>400.0003378658314</v>
      </c>
      <c r="F123" s="6">
        <f t="shared" si="12"/>
      </c>
      <c r="G123" s="6">
        <f t="shared" si="12"/>
        <v>400.0003378658314</v>
      </c>
      <c r="H123" s="6">
        <f t="shared" si="12"/>
      </c>
    </row>
    <row r="124" spans="1:8" ht="12" customHeight="1">
      <c r="A124" s="68"/>
      <c r="B124" s="4">
        <v>40</v>
      </c>
      <c r="C124" s="5" t="s">
        <v>103</v>
      </c>
      <c r="D124" s="2" t="s">
        <v>164</v>
      </c>
      <c r="E124" s="6">
        <f t="shared" si="11"/>
        <v>300.00025339937355</v>
      </c>
      <c r="F124" s="6">
        <f t="shared" si="12"/>
      </c>
      <c r="G124" s="6">
        <f t="shared" si="12"/>
        <v>300.00025339937355</v>
      </c>
      <c r="H124" s="6">
        <f t="shared" si="12"/>
      </c>
    </row>
    <row r="125" spans="1:8" ht="12" customHeight="1">
      <c r="A125" s="68"/>
      <c r="B125" s="4">
        <v>50</v>
      </c>
      <c r="C125" s="5" t="s">
        <v>103</v>
      </c>
      <c r="D125" s="2" t="s">
        <v>164</v>
      </c>
      <c r="E125" s="6">
        <f t="shared" si="11"/>
        <v>240.00020271949882</v>
      </c>
      <c r="F125" s="6">
        <f t="shared" si="12"/>
      </c>
      <c r="G125" s="6">
        <f t="shared" si="12"/>
        <v>240.00020271949882</v>
      </c>
      <c r="H125" s="6">
        <f t="shared" si="12"/>
      </c>
    </row>
    <row r="126" spans="1:8" ht="12" customHeight="1">
      <c r="A126" s="68"/>
      <c r="B126" s="4">
        <v>70</v>
      </c>
      <c r="C126" s="5" t="s">
        <v>103</v>
      </c>
      <c r="D126" s="2" t="s">
        <v>164</v>
      </c>
      <c r="E126" s="6">
        <f t="shared" si="11"/>
        <v>171.4287162282135</v>
      </c>
      <c r="F126" s="6">
        <f t="shared" si="12"/>
      </c>
      <c r="G126" s="6">
        <f t="shared" si="12"/>
        <v>171.4287162282135</v>
      </c>
      <c r="H126" s="6">
        <f t="shared" si="12"/>
      </c>
    </row>
    <row r="127" spans="1:8" ht="12" customHeight="1">
      <c r="A127" s="68"/>
      <c r="B127" s="4">
        <v>100</v>
      </c>
      <c r="C127" s="5" t="s">
        <v>103</v>
      </c>
      <c r="D127" s="2" t="s">
        <v>164</v>
      </c>
      <c r="E127" s="6">
        <f t="shared" si="11"/>
        <v>120.00010135974941</v>
      </c>
      <c r="F127" s="6">
        <f t="shared" si="12"/>
      </c>
      <c r="G127" s="6">
        <f t="shared" si="12"/>
        <v>120.00010135974941</v>
      </c>
      <c r="H127" s="6">
        <f t="shared" si="12"/>
      </c>
    </row>
    <row r="128" spans="1:8" ht="12" customHeight="1">
      <c r="A128" s="68"/>
      <c r="B128" s="4">
        <v>150</v>
      </c>
      <c r="C128" s="5" t="s">
        <v>103</v>
      </c>
      <c r="D128" s="2" t="s">
        <v>164</v>
      </c>
      <c r="E128" s="6">
        <f t="shared" si="11"/>
        <v>80.00006757316628</v>
      </c>
      <c r="F128" s="6">
        <f t="shared" si="12"/>
      </c>
      <c r="G128" s="6">
        <f t="shared" si="12"/>
        <v>80.00006757316628</v>
      </c>
      <c r="H128" s="6">
        <f t="shared" si="12"/>
      </c>
    </row>
    <row r="129" spans="1:8" ht="12" customHeight="1">
      <c r="A129" s="68"/>
      <c r="B129" s="4">
        <v>200</v>
      </c>
      <c r="C129" s="5" t="s">
        <v>103</v>
      </c>
      <c r="D129" s="2" t="s">
        <v>164</v>
      </c>
      <c r="E129" s="6">
        <f t="shared" si="11"/>
        <v>60.000050679874704</v>
      </c>
      <c r="F129" s="6">
        <f t="shared" si="12"/>
      </c>
      <c r="G129" s="6">
        <f t="shared" si="12"/>
        <v>60.000050679874704</v>
      </c>
      <c r="H129" s="6">
        <f t="shared" si="12"/>
      </c>
    </row>
    <row r="130" spans="1:8" ht="12" customHeight="1">
      <c r="A130" s="68"/>
      <c r="B130" s="4">
        <v>300</v>
      </c>
      <c r="C130" s="5" t="s">
        <v>103</v>
      </c>
      <c r="D130" s="2" t="s">
        <v>164</v>
      </c>
      <c r="E130" s="6">
        <f t="shared" si="11"/>
        <v>40.00003378658314</v>
      </c>
      <c r="F130" s="6">
        <f t="shared" si="12"/>
      </c>
      <c r="G130" s="6">
        <f t="shared" si="12"/>
        <v>40.00003378658314</v>
      </c>
      <c r="H130" s="6">
        <f t="shared" si="12"/>
      </c>
    </row>
    <row r="131" spans="1:8" ht="12" customHeight="1">
      <c r="A131" s="68"/>
      <c r="B131" s="4">
        <v>400</v>
      </c>
      <c r="C131" s="5" t="s">
        <v>103</v>
      </c>
      <c r="D131" s="2" t="s">
        <v>164</v>
      </c>
      <c r="E131" s="6">
        <f t="shared" si="11"/>
        <v>30.000025339937352</v>
      </c>
      <c r="F131" s="6">
        <f t="shared" si="12"/>
      </c>
      <c r="G131" s="6">
        <f t="shared" si="12"/>
        <v>30.000025339937352</v>
      </c>
      <c r="H131" s="6">
        <f t="shared" si="12"/>
      </c>
    </row>
    <row r="132" spans="1:8" ht="12" customHeight="1">
      <c r="A132" s="68"/>
      <c r="B132" s="4">
        <v>500</v>
      </c>
      <c r="C132" s="5" t="s">
        <v>103</v>
      </c>
      <c r="D132" s="2" t="s">
        <v>164</v>
      </c>
      <c r="E132" s="6">
        <f t="shared" si="11"/>
        <v>24.00002027194989</v>
      </c>
      <c r="F132" s="6">
        <f t="shared" si="12"/>
      </c>
      <c r="G132" s="6">
        <f t="shared" si="12"/>
        <v>24.00002027194989</v>
      </c>
      <c r="H132" s="6">
        <f t="shared" si="12"/>
      </c>
    </row>
    <row r="133" spans="1:8" ht="12" customHeight="1">
      <c r="A133" s="68"/>
      <c r="B133" s="4">
        <v>700</v>
      </c>
      <c r="C133" s="5" t="s">
        <v>103</v>
      </c>
      <c r="D133" s="2" t="s">
        <v>164</v>
      </c>
      <c r="E133" s="6">
        <f t="shared" si="11"/>
        <v>17.142871622821346</v>
      </c>
      <c r="F133" s="6">
        <f t="shared" si="12"/>
      </c>
      <c r="G133" s="6">
        <f t="shared" si="12"/>
        <v>17.142871622821346</v>
      </c>
      <c r="H133" s="6">
        <f t="shared" si="12"/>
      </c>
    </row>
    <row r="134" spans="1:8" ht="12" customHeight="1">
      <c r="A134" s="68"/>
      <c r="B134" s="4" t="s">
        <v>35</v>
      </c>
      <c r="C134" s="5" t="s">
        <v>103</v>
      </c>
      <c r="D134" s="2" t="s">
        <v>164</v>
      </c>
      <c r="E134" s="6">
        <f t="shared" si="11"/>
        <v>12.000010135974945</v>
      </c>
      <c r="F134" s="6">
        <f t="shared" si="12"/>
      </c>
      <c r="G134" s="6">
        <f t="shared" si="12"/>
        <v>12.000010135974945</v>
      </c>
      <c r="H134" s="6">
        <f t="shared" si="12"/>
      </c>
    </row>
    <row r="135" spans="1:8" ht="12" customHeight="1">
      <c r="A135" s="68"/>
      <c r="B135" s="4" t="s">
        <v>36</v>
      </c>
      <c r="C135" s="5" t="s">
        <v>103</v>
      </c>
      <c r="D135" s="2" t="s">
        <v>164</v>
      </c>
      <c r="E135" s="6">
        <f t="shared" si="11"/>
        <v>8.000006757316628</v>
      </c>
      <c r="F135" s="6">
        <f t="shared" si="12"/>
      </c>
      <c r="G135" s="6">
        <f t="shared" si="12"/>
        <v>8.000006757316628</v>
      </c>
      <c r="H135" s="6">
        <f t="shared" si="12"/>
      </c>
    </row>
    <row r="136" spans="1:8" ht="12" customHeight="1">
      <c r="A136" s="68"/>
      <c r="B136" s="4" t="s">
        <v>37</v>
      </c>
      <c r="C136" s="5" t="s">
        <v>103</v>
      </c>
      <c r="D136" s="2" t="s">
        <v>164</v>
      </c>
      <c r="E136" s="6">
        <f t="shared" si="11"/>
        <v>6.000005067987472</v>
      </c>
      <c r="F136" s="6">
        <f t="shared" si="12"/>
      </c>
      <c r="G136" s="6">
        <f t="shared" si="12"/>
        <v>6.000005067987472</v>
      </c>
      <c r="H136" s="6">
        <f t="shared" si="12"/>
      </c>
    </row>
    <row r="137" spans="1:8" ht="12" customHeight="1">
      <c r="A137" s="68"/>
      <c r="B137" s="4" t="s">
        <v>38</v>
      </c>
      <c r="C137" s="5" t="s">
        <v>103</v>
      </c>
      <c r="D137" s="2" t="s">
        <v>164</v>
      </c>
      <c r="E137" s="6">
        <f t="shared" si="11"/>
        <v>4.000003378658314</v>
      </c>
      <c r="F137" s="6">
        <f t="shared" si="12"/>
      </c>
      <c r="G137" s="6">
        <f t="shared" si="12"/>
        <v>4.000003378658314</v>
      </c>
      <c r="H137" s="6">
        <f t="shared" si="12"/>
      </c>
    </row>
    <row r="138" spans="1:8" ht="12" customHeight="1">
      <c r="A138" s="68"/>
      <c r="B138" s="4" t="s">
        <v>39</v>
      </c>
      <c r="C138" s="5" t="s">
        <v>103</v>
      </c>
      <c r="D138" s="2" t="s">
        <v>164</v>
      </c>
      <c r="E138" s="6">
        <f t="shared" si="11"/>
        <v>3.000002533993736</v>
      </c>
      <c r="F138" s="6">
        <f t="shared" si="12"/>
      </c>
      <c r="G138" s="6">
        <f t="shared" si="12"/>
        <v>3.000002533993736</v>
      </c>
      <c r="H138" s="6">
        <f t="shared" si="12"/>
      </c>
    </row>
    <row r="139" spans="1:8" ht="12" customHeight="1">
      <c r="A139" s="68"/>
      <c r="B139" s="4" t="s">
        <v>40</v>
      </c>
      <c r="C139" s="5" t="s">
        <v>103</v>
      </c>
      <c r="D139" s="2" t="s">
        <v>164</v>
      </c>
      <c r="E139" s="6">
        <f t="shared" si="11"/>
        <v>2.4000020271949887</v>
      </c>
      <c r="F139" s="6">
        <f t="shared" si="12"/>
      </c>
      <c r="G139" s="6">
        <f t="shared" si="12"/>
        <v>2.4000020271949887</v>
      </c>
      <c r="H139" s="6">
        <f t="shared" si="12"/>
      </c>
    </row>
    <row r="140" spans="1:8" ht="12" customHeight="1">
      <c r="A140" s="68"/>
      <c r="B140" s="4" t="s">
        <v>41</v>
      </c>
      <c r="C140" s="5" t="s">
        <v>103</v>
      </c>
      <c r="D140" s="2" t="s">
        <v>164</v>
      </c>
      <c r="E140" s="6">
        <f t="shared" si="11"/>
        <v>1.7142871622821347</v>
      </c>
      <c r="F140" s="6">
        <f t="shared" si="12"/>
      </c>
      <c r="G140" s="6">
        <f t="shared" si="12"/>
        <v>1.7142871622821347</v>
      </c>
      <c r="H140" s="6">
        <f t="shared" si="12"/>
      </c>
    </row>
    <row r="141" spans="1:8" ht="12" customHeight="1">
      <c r="A141" s="68"/>
      <c r="B141" s="4" t="s">
        <v>42</v>
      </c>
      <c r="C141" s="5" t="s">
        <v>103</v>
      </c>
      <c r="D141" s="2" t="s">
        <v>164</v>
      </c>
      <c r="E141" s="6">
        <f t="shared" si="11"/>
        <v>1.2000010135974943</v>
      </c>
      <c r="F141" s="6">
        <f t="shared" si="12"/>
      </c>
      <c r="G141" s="6">
        <f t="shared" si="12"/>
        <v>1.2000010135974943</v>
      </c>
      <c r="H141" s="6">
        <f t="shared" si="12"/>
      </c>
    </row>
    <row r="142" spans="1:8" ht="12" customHeight="1">
      <c r="A142" s="68"/>
      <c r="B142" s="4" t="s">
        <v>43</v>
      </c>
      <c r="C142" s="5" t="s">
        <v>103</v>
      </c>
      <c r="D142" s="2" t="s">
        <v>164</v>
      </c>
      <c r="E142" s="6">
        <f t="shared" si="11"/>
        <v>0.8000006757316627</v>
      </c>
      <c r="F142" s="6">
        <f t="shared" si="12"/>
      </c>
      <c r="G142" s="6">
        <f t="shared" si="12"/>
        <v>0.8000006757316627</v>
      </c>
      <c r="H142" s="6">
        <f t="shared" si="12"/>
      </c>
    </row>
    <row r="143" spans="1:8" ht="12" customHeight="1">
      <c r="A143" s="69"/>
      <c r="B143" s="4" t="s">
        <v>44</v>
      </c>
      <c r="C143" s="5" t="s">
        <v>103</v>
      </c>
      <c r="D143" s="2" t="s">
        <v>164</v>
      </c>
      <c r="E143" s="6">
        <f t="shared" si="11"/>
        <v>0.6000005067987472</v>
      </c>
      <c r="F143" s="6">
        <f t="shared" si="12"/>
      </c>
      <c r="G143" s="6">
        <f t="shared" si="12"/>
        <v>0.6000005067987472</v>
      </c>
      <c r="H143" s="6">
        <f t="shared" si="12"/>
      </c>
    </row>
    <row r="144" spans="1:8" ht="12" customHeight="1">
      <c r="A144" s="67" t="s">
        <v>167</v>
      </c>
      <c r="B144" s="4">
        <v>20</v>
      </c>
      <c r="C144" s="5" t="s">
        <v>103</v>
      </c>
      <c r="D144" s="2" t="s">
        <v>164</v>
      </c>
      <c r="E144" s="6">
        <f aca="true" t="shared" si="13" ref="E144:F165">IF(E$24="","",2*3.14159*$B100*E$24*0.001)</f>
        <v>0.059999949320168104</v>
      </c>
      <c r="F144" s="6">
        <f t="shared" si="13"/>
      </c>
      <c r="G144" s="6">
        <f aca="true" t="shared" si="14" ref="G144:H165">IF(G$24="","",2*3.14159*$B100*G$24*0.001)</f>
      </c>
      <c r="H144" s="6">
        <f t="shared" si="14"/>
      </c>
    </row>
    <row r="145" spans="1:8" ht="12" customHeight="1">
      <c r="A145" s="68"/>
      <c r="B145" s="4">
        <v>30</v>
      </c>
      <c r="C145" s="5" t="s">
        <v>103</v>
      </c>
      <c r="D145" s="2" t="s">
        <v>164</v>
      </c>
      <c r="E145" s="6">
        <f t="shared" si="13"/>
        <v>0.08999992398025215</v>
      </c>
      <c r="F145" s="6">
        <f t="shared" si="13"/>
      </c>
      <c r="G145" s="6">
        <f t="shared" si="14"/>
      </c>
      <c r="H145" s="6">
        <f t="shared" si="14"/>
      </c>
    </row>
    <row r="146" spans="1:8" ht="12" customHeight="1">
      <c r="A146" s="68"/>
      <c r="B146" s="4">
        <v>40</v>
      </c>
      <c r="C146" s="5" t="s">
        <v>103</v>
      </c>
      <c r="D146" s="2" t="s">
        <v>164</v>
      </c>
      <c r="E146" s="6">
        <f t="shared" si="13"/>
        <v>0.11999989864033621</v>
      </c>
      <c r="F146" s="6">
        <f t="shared" si="13"/>
      </c>
      <c r="G146" s="6">
        <f t="shared" si="14"/>
      </c>
      <c r="H146" s="6">
        <f t="shared" si="14"/>
      </c>
    </row>
    <row r="147" spans="1:8" ht="12" customHeight="1">
      <c r="A147" s="68"/>
      <c r="B147" s="4">
        <v>50</v>
      </c>
      <c r="C147" s="5" t="s">
        <v>103</v>
      </c>
      <c r="D147" s="2" t="s">
        <v>164</v>
      </c>
      <c r="E147" s="6">
        <f t="shared" si="13"/>
        <v>0.14999987330042028</v>
      </c>
      <c r="F147" s="6">
        <f t="shared" si="13"/>
      </c>
      <c r="G147" s="6">
        <f t="shared" si="14"/>
      </c>
      <c r="H147" s="6">
        <f t="shared" si="14"/>
      </c>
    </row>
    <row r="148" spans="1:8" ht="12" customHeight="1">
      <c r="A148" s="68"/>
      <c r="B148" s="4">
        <v>70</v>
      </c>
      <c r="C148" s="5" t="s">
        <v>103</v>
      </c>
      <c r="D148" s="2" t="s">
        <v>164</v>
      </c>
      <c r="E148" s="6">
        <f t="shared" si="13"/>
        <v>0.20999982262058833</v>
      </c>
      <c r="F148" s="6">
        <f t="shared" si="13"/>
      </c>
      <c r="G148" s="6">
        <f t="shared" si="14"/>
      </c>
      <c r="H148" s="6">
        <f t="shared" si="14"/>
      </c>
    </row>
    <row r="149" spans="1:8" ht="12" customHeight="1">
      <c r="A149" s="68"/>
      <c r="B149" s="4">
        <v>100</v>
      </c>
      <c r="C149" s="5" t="s">
        <v>103</v>
      </c>
      <c r="D149" s="2" t="s">
        <v>164</v>
      </c>
      <c r="E149" s="6">
        <f t="shared" si="13"/>
        <v>0.29999974660084056</v>
      </c>
      <c r="F149" s="6">
        <f t="shared" si="13"/>
      </c>
      <c r="G149" s="6">
        <f t="shared" si="14"/>
      </c>
      <c r="H149" s="6">
        <f t="shared" si="14"/>
      </c>
    </row>
    <row r="150" spans="1:8" ht="12" customHeight="1">
      <c r="A150" s="68"/>
      <c r="B150" s="4">
        <v>150</v>
      </c>
      <c r="C150" s="5" t="s">
        <v>103</v>
      </c>
      <c r="D150" s="2" t="s">
        <v>164</v>
      </c>
      <c r="E150" s="6">
        <f t="shared" si="13"/>
        <v>0.44999961990126075</v>
      </c>
      <c r="F150" s="6">
        <f t="shared" si="13"/>
      </c>
      <c r="G150" s="6">
        <f t="shared" si="14"/>
      </c>
      <c r="H150" s="6">
        <f t="shared" si="14"/>
      </c>
    </row>
    <row r="151" spans="1:8" ht="12" customHeight="1">
      <c r="A151" s="68"/>
      <c r="B151" s="4">
        <v>200</v>
      </c>
      <c r="C151" s="5" t="s">
        <v>103</v>
      </c>
      <c r="D151" s="2" t="s">
        <v>164</v>
      </c>
      <c r="E151" s="6">
        <f t="shared" si="13"/>
        <v>0.5999994932016811</v>
      </c>
      <c r="F151" s="6">
        <f t="shared" si="13"/>
      </c>
      <c r="G151" s="6">
        <f t="shared" si="14"/>
      </c>
      <c r="H151" s="6">
        <f t="shared" si="14"/>
      </c>
    </row>
    <row r="152" spans="1:8" ht="12" customHeight="1">
      <c r="A152" s="68"/>
      <c r="B152" s="4">
        <v>300</v>
      </c>
      <c r="C152" s="5" t="s">
        <v>103</v>
      </c>
      <c r="D152" s="2" t="s">
        <v>164</v>
      </c>
      <c r="E152" s="6">
        <f t="shared" si="13"/>
        <v>0.8999992398025215</v>
      </c>
      <c r="F152" s="6">
        <f t="shared" si="13"/>
      </c>
      <c r="G152" s="6">
        <f t="shared" si="14"/>
      </c>
      <c r="H152" s="6">
        <f t="shared" si="14"/>
      </c>
    </row>
    <row r="153" spans="1:8" ht="12" customHeight="1">
      <c r="A153" s="68"/>
      <c r="B153" s="4">
        <v>400</v>
      </c>
      <c r="C153" s="5" t="s">
        <v>103</v>
      </c>
      <c r="D153" s="2" t="s">
        <v>164</v>
      </c>
      <c r="E153" s="6">
        <f t="shared" si="13"/>
        <v>1.1999989864033622</v>
      </c>
      <c r="F153" s="6">
        <f t="shared" si="13"/>
      </c>
      <c r="G153" s="6">
        <f t="shared" si="14"/>
      </c>
      <c r="H153" s="6">
        <f t="shared" si="14"/>
      </c>
    </row>
    <row r="154" spans="1:8" ht="12" customHeight="1">
      <c r="A154" s="68"/>
      <c r="B154" s="4">
        <v>500</v>
      </c>
      <c r="C154" s="5" t="s">
        <v>103</v>
      </c>
      <c r="D154" s="2" t="s">
        <v>164</v>
      </c>
      <c r="E154" s="6">
        <f t="shared" si="13"/>
        <v>1.4999987330042024</v>
      </c>
      <c r="F154" s="6">
        <f t="shared" si="13"/>
      </c>
      <c r="G154" s="6">
        <f t="shared" si="14"/>
      </c>
      <c r="H154" s="6">
        <f t="shared" si="14"/>
      </c>
    </row>
    <row r="155" spans="1:8" ht="12" customHeight="1">
      <c r="A155" s="68"/>
      <c r="B155" s="4">
        <v>700</v>
      </c>
      <c r="C155" s="5" t="s">
        <v>103</v>
      </c>
      <c r="D155" s="2" t="s">
        <v>164</v>
      </c>
      <c r="E155" s="6">
        <f t="shared" si="13"/>
        <v>2.0999982262058836</v>
      </c>
      <c r="F155" s="6">
        <f t="shared" si="13"/>
      </c>
      <c r="G155" s="6">
        <f t="shared" si="14"/>
      </c>
      <c r="H155" s="6">
        <f t="shared" si="14"/>
      </c>
    </row>
    <row r="156" spans="1:8" ht="12" customHeight="1">
      <c r="A156" s="68"/>
      <c r="B156" s="4" t="s">
        <v>35</v>
      </c>
      <c r="C156" s="5" t="s">
        <v>103</v>
      </c>
      <c r="D156" s="2" t="s">
        <v>164</v>
      </c>
      <c r="E156" s="6">
        <f t="shared" si="13"/>
        <v>2.999997466008405</v>
      </c>
      <c r="F156" s="6">
        <f t="shared" si="13"/>
      </c>
      <c r="G156" s="6">
        <f t="shared" si="14"/>
      </c>
      <c r="H156" s="6">
        <f t="shared" si="14"/>
      </c>
    </row>
    <row r="157" spans="1:8" ht="12" customHeight="1">
      <c r="A157" s="68"/>
      <c r="B157" s="4" t="s">
        <v>36</v>
      </c>
      <c r="C157" s="5" t="s">
        <v>103</v>
      </c>
      <c r="D157" s="2" t="s">
        <v>164</v>
      </c>
      <c r="E157" s="6">
        <f t="shared" si="13"/>
        <v>4.499996199012608</v>
      </c>
      <c r="F157" s="6">
        <f t="shared" si="13"/>
      </c>
      <c r="G157" s="6">
        <f t="shared" si="14"/>
      </c>
      <c r="H157" s="6">
        <f t="shared" si="14"/>
      </c>
    </row>
    <row r="158" spans="1:8" ht="12" customHeight="1">
      <c r="A158" s="68"/>
      <c r="B158" s="4" t="s">
        <v>37</v>
      </c>
      <c r="C158" s="5" t="s">
        <v>103</v>
      </c>
      <c r="D158" s="2" t="s">
        <v>164</v>
      </c>
      <c r="E158" s="6">
        <f t="shared" si="13"/>
        <v>5.99999493201681</v>
      </c>
      <c r="F158" s="6">
        <f t="shared" si="13"/>
      </c>
      <c r="G158" s="6">
        <f t="shared" si="14"/>
      </c>
      <c r="H158" s="6">
        <f t="shared" si="14"/>
      </c>
    </row>
    <row r="159" spans="1:8" ht="12" customHeight="1">
      <c r="A159" s="68"/>
      <c r="B159" s="4" t="s">
        <v>38</v>
      </c>
      <c r="C159" s="5" t="s">
        <v>103</v>
      </c>
      <c r="D159" s="2" t="s">
        <v>164</v>
      </c>
      <c r="E159" s="6">
        <f t="shared" si="13"/>
        <v>8.999992398025215</v>
      </c>
      <c r="F159" s="6">
        <f t="shared" si="13"/>
      </c>
      <c r="G159" s="6">
        <f t="shared" si="14"/>
      </c>
      <c r="H159" s="6">
        <f t="shared" si="14"/>
      </c>
    </row>
    <row r="160" spans="1:8" ht="12" customHeight="1">
      <c r="A160" s="68"/>
      <c r="B160" s="4" t="s">
        <v>39</v>
      </c>
      <c r="C160" s="5" t="s">
        <v>103</v>
      </c>
      <c r="D160" s="2" t="s">
        <v>164</v>
      </c>
      <c r="E160" s="6">
        <f t="shared" si="13"/>
        <v>11.99998986403362</v>
      </c>
      <c r="F160" s="6">
        <f t="shared" si="13"/>
      </c>
      <c r="G160" s="6">
        <f t="shared" si="14"/>
      </c>
      <c r="H160" s="6">
        <f t="shared" si="14"/>
      </c>
    </row>
    <row r="161" spans="1:8" ht="12" customHeight="1">
      <c r="A161" s="68"/>
      <c r="B161" s="4" t="s">
        <v>40</v>
      </c>
      <c r="C161" s="5" t="s">
        <v>103</v>
      </c>
      <c r="D161" s="2" t="s">
        <v>164</v>
      </c>
      <c r="E161" s="6">
        <f t="shared" si="13"/>
        <v>14.999987330042025</v>
      </c>
      <c r="F161" s="6">
        <f t="shared" si="13"/>
      </c>
      <c r="G161" s="6">
        <f t="shared" si="14"/>
      </c>
      <c r="H161" s="6">
        <f t="shared" si="14"/>
      </c>
    </row>
    <row r="162" spans="1:8" ht="12" customHeight="1">
      <c r="A162" s="68"/>
      <c r="B162" s="4" t="s">
        <v>41</v>
      </c>
      <c r="C162" s="5" t="s">
        <v>103</v>
      </c>
      <c r="D162" s="2" t="s">
        <v>164</v>
      </c>
      <c r="E162" s="6">
        <f t="shared" si="13"/>
        <v>20.999982262058836</v>
      </c>
      <c r="F162" s="6">
        <f t="shared" si="13"/>
      </c>
      <c r="G162" s="6">
        <f t="shared" si="14"/>
      </c>
      <c r="H162" s="6">
        <f t="shared" si="14"/>
      </c>
    </row>
    <row r="163" spans="1:8" ht="12" customHeight="1">
      <c r="A163" s="68"/>
      <c r="B163" s="4" t="s">
        <v>42</v>
      </c>
      <c r="C163" s="5" t="s">
        <v>103</v>
      </c>
      <c r="D163" s="2" t="s">
        <v>164</v>
      </c>
      <c r="E163" s="6">
        <f t="shared" si="13"/>
        <v>29.99997466008405</v>
      </c>
      <c r="F163" s="6">
        <f t="shared" si="13"/>
      </c>
      <c r="G163" s="6">
        <f t="shared" si="14"/>
      </c>
      <c r="H163" s="6">
        <f t="shared" si="14"/>
      </c>
    </row>
    <row r="164" spans="1:8" ht="12" customHeight="1">
      <c r="A164" s="68"/>
      <c r="B164" s="4" t="s">
        <v>43</v>
      </c>
      <c r="C164" s="5" t="s">
        <v>103</v>
      </c>
      <c r="D164" s="2" t="s">
        <v>164</v>
      </c>
      <c r="E164" s="6">
        <f t="shared" si="13"/>
        <v>44.999961990126074</v>
      </c>
      <c r="F164" s="6">
        <f t="shared" si="13"/>
      </c>
      <c r="G164" s="6">
        <f t="shared" si="14"/>
      </c>
      <c r="H164" s="6">
        <f t="shared" si="14"/>
      </c>
    </row>
    <row r="165" spans="1:8" ht="12" customHeight="1">
      <c r="A165" s="69"/>
      <c r="B165" s="4" t="s">
        <v>44</v>
      </c>
      <c r="C165" s="5" t="s">
        <v>103</v>
      </c>
      <c r="D165" s="2" t="s">
        <v>164</v>
      </c>
      <c r="E165" s="6">
        <f t="shared" si="13"/>
        <v>59.9999493201681</v>
      </c>
      <c r="F165" s="6">
        <f t="shared" si="13"/>
      </c>
      <c r="G165" s="6">
        <f t="shared" si="14"/>
      </c>
      <c r="H165" s="6">
        <f t="shared" si="14"/>
      </c>
    </row>
    <row r="166" spans="1:8" ht="12" customHeight="1">
      <c r="A166" s="67" t="s">
        <v>168</v>
      </c>
      <c r="B166" s="4">
        <v>20</v>
      </c>
      <c r="C166" s="5" t="s">
        <v>103</v>
      </c>
      <c r="D166" s="2" t="s">
        <v>164</v>
      </c>
      <c r="E166" s="6">
        <f aca="true" t="shared" si="15" ref="E166:H187">IF(E$25="","",1/(2*3.14159*$B100*E$25/1000000))</f>
        <v>600.0005067987471</v>
      </c>
      <c r="F166" s="6">
        <f t="shared" si="15"/>
      </c>
      <c r="G166" s="6">
        <f t="shared" si="15"/>
      </c>
      <c r="H166" s="6">
        <f t="shared" si="15"/>
      </c>
    </row>
    <row r="167" spans="1:8" ht="12" customHeight="1">
      <c r="A167" s="68"/>
      <c r="B167" s="4">
        <v>30</v>
      </c>
      <c r="C167" s="5" t="s">
        <v>103</v>
      </c>
      <c r="D167" s="2" t="s">
        <v>164</v>
      </c>
      <c r="E167" s="6">
        <f t="shared" si="15"/>
        <v>400.0003378658314</v>
      </c>
      <c r="F167" s="6">
        <f t="shared" si="15"/>
      </c>
      <c r="G167" s="6">
        <f t="shared" si="15"/>
      </c>
      <c r="H167" s="6">
        <f t="shared" si="15"/>
      </c>
    </row>
    <row r="168" spans="1:8" ht="12" customHeight="1">
      <c r="A168" s="68"/>
      <c r="B168" s="4">
        <v>40</v>
      </c>
      <c r="C168" s="5" t="s">
        <v>103</v>
      </c>
      <c r="D168" s="2" t="s">
        <v>164</v>
      </c>
      <c r="E168" s="6">
        <f t="shared" si="15"/>
        <v>300.00025339937355</v>
      </c>
      <c r="F168" s="6">
        <f t="shared" si="15"/>
      </c>
      <c r="G168" s="6">
        <f t="shared" si="15"/>
      </c>
      <c r="H168" s="6">
        <f t="shared" si="15"/>
      </c>
    </row>
    <row r="169" spans="1:8" ht="12" customHeight="1">
      <c r="A169" s="68"/>
      <c r="B169" s="4">
        <v>50</v>
      </c>
      <c r="C169" s="5" t="s">
        <v>103</v>
      </c>
      <c r="D169" s="2" t="s">
        <v>164</v>
      </c>
      <c r="E169" s="6">
        <f t="shared" si="15"/>
        <v>240.00020271949882</v>
      </c>
      <c r="F169" s="6">
        <f t="shared" si="15"/>
      </c>
      <c r="G169" s="6">
        <f t="shared" si="15"/>
      </c>
      <c r="H169" s="6">
        <f t="shared" si="15"/>
      </c>
    </row>
    <row r="170" spans="1:8" ht="12" customHeight="1">
      <c r="A170" s="68"/>
      <c r="B170" s="4">
        <v>70</v>
      </c>
      <c r="C170" s="5" t="s">
        <v>103</v>
      </c>
      <c r="D170" s="2" t="s">
        <v>164</v>
      </c>
      <c r="E170" s="6">
        <f t="shared" si="15"/>
        <v>171.4287162282135</v>
      </c>
      <c r="F170" s="6">
        <f t="shared" si="15"/>
      </c>
      <c r="G170" s="6">
        <f t="shared" si="15"/>
      </c>
      <c r="H170" s="6">
        <f t="shared" si="15"/>
      </c>
    </row>
    <row r="171" spans="1:8" ht="12" customHeight="1">
      <c r="A171" s="68"/>
      <c r="B171" s="4">
        <v>100</v>
      </c>
      <c r="C171" s="5" t="s">
        <v>103</v>
      </c>
      <c r="D171" s="2" t="s">
        <v>164</v>
      </c>
      <c r="E171" s="6">
        <f t="shared" si="15"/>
        <v>120.00010135974941</v>
      </c>
      <c r="F171" s="6">
        <f t="shared" si="15"/>
      </c>
      <c r="G171" s="6">
        <f t="shared" si="15"/>
      </c>
      <c r="H171" s="6">
        <f t="shared" si="15"/>
      </c>
    </row>
    <row r="172" spans="1:8" ht="12" customHeight="1">
      <c r="A172" s="68"/>
      <c r="B172" s="4">
        <v>150</v>
      </c>
      <c r="C172" s="5" t="s">
        <v>103</v>
      </c>
      <c r="D172" s="2" t="s">
        <v>164</v>
      </c>
      <c r="E172" s="6">
        <f t="shared" si="15"/>
        <v>80.00006757316628</v>
      </c>
      <c r="F172" s="6">
        <f t="shared" si="15"/>
      </c>
      <c r="G172" s="6">
        <f t="shared" si="15"/>
      </c>
      <c r="H172" s="6">
        <f t="shared" si="15"/>
      </c>
    </row>
    <row r="173" spans="1:8" ht="12" customHeight="1">
      <c r="A173" s="68"/>
      <c r="B173" s="4">
        <v>200</v>
      </c>
      <c r="C173" s="5" t="s">
        <v>103</v>
      </c>
      <c r="D173" s="2" t="s">
        <v>164</v>
      </c>
      <c r="E173" s="6">
        <f t="shared" si="15"/>
        <v>60.000050679874704</v>
      </c>
      <c r="F173" s="6">
        <f t="shared" si="15"/>
      </c>
      <c r="G173" s="6">
        <f t="shared" si="15"/>
      </c>
      <c r="H173" s="6">
        <f t="shared" si="15"/>
      </c>
    </row>
    <row r="174" spans="1:8" ht="12" customHeight="1">
      <c r="A174" s="68"/>
      <c r="B174" s="4">
        <v>300</v>
      </c>
      <c r="C174" s="5" t="s">
        <v>103</v>
      </c>
      <c r="D174" s="2" t="s">
        <v>164</v>
      </c>
      <c r="E174" s="6">
        <f t="shared" si="15"/>
        <v>40.00003378658314</v>
      </c>
      <c r="F174" s="6">
        <f t="shared" si="15"/>
      </c>
      <c r="G174" s="6">
        <f t="shared" si="15"/>
      </c>
      <c r="H174" s="6">
        <f t="shared" si="15"/>
      </c>
    </row>
    <row r="175" spans="1:8" ht="12" customHeight="1">
      <c r="A175" s="68"/>
      <c r="B175" s="4">
        <v>400</v>
      </c>
      <c r="C175" s="5" t="s">
        <v>103</v>
      </c>
      <c r="D175" s="2" t="s">
        <v>164</v>
      </c>
      <c r="E175" s="6">
        <f t="shared" si="15"/>
        <v>30.000025339937352</v>
      </c>
      <c r="F175" s="6">
        <f t="shared" si="15"/>
      </c>
      <c r="G175" s="6">
        <f t="shared" si="15"/>
      </c>
      <c r="H175" s="6">
        <f t="shared" si="15"/>
      </c>
    </row>
    <row r="176" spans="1:8" ht="12" customHeight="1">
      <c r="A176" s="68"/>
      <c r="B176" s="4">
        <v>500</v>
      </c>
      <c r="C176" s="5" t="s">
        <v>103</v>
      </c>
      <c r="D176" s="2" t="s">
        <v>164</v>
      </c>
      <c r="E176" s="6">
        <f t="shared" si="15"/>
        <v>24.00002027194989</v>
      </c>
      <c r="F176" s="6">
        <f t="shared" si="15"/>
      </c>
      <c r="G176" s="6">
        <f t="shared" si="15"/>
      </c>
      <c r="H176" s="6">
        <f t="shared" si="15"/>
      </c>
    </row>
    <row r="177" spans="1:8" ht="12" customHeight="1">
      <c r="A177" s="68"/>
      <c r="B177" s="4">
        <v>700</v>
      </c>
      <c r="C177" s="5" t="s">
        <v>103</v>
      </c>
      <c r="D177" s="2" t="s">
        <v>164</v>
      </c>
      <c r="E177" s="6">
        <f t="shared" si="15"/>
        <v>17.142871622821346</v>
      </c>
      <c r="F177" s="6">
        <f t="shared" si="15"/>
      </c>
      <c r="G177" s="6">
        <f t="shared" si="15"/>
      </c>
      <c r="H177" s="6">
        <f t="shared" si="15"/>
      </c>
    </row>
    <row r="178" spans="1:8" ht="12" customHeight="1">
      <c r="A178" s="68"/>
      <c r="B178" s="4" t="s">
        <v>35</v>
      </c>
      <c r="C178" s="5" t="s">
        <v>103</v>
      </c>
      <c r="D178" s="2" t="s">
        <v>164</v>
      </c>
      <c r="E178" s="6">
        <f t="shared" si="15"/>
        <v>12.000010135974945</v>
      </c>
      <c r="F178" s="6">
        <f t="shared" si="15"/>
      </c>
      <c r="G178" s="6">
        <f t="shared" si="15"/>
      </c>
      <c r="H178" s="6">
        <f t="shared" si="15"/>
      </c>
    </row>
    <row r="179" spans="1:8" ht="12" customHeight="1">
      <c r="A179" s="68"/>
      <c r="B179" s="4" t="s">
        <v>36</v>
      </c>
      <c r="C179" s="5" t="s">
        <v>103</v>
      </c>
      <c r="D179" s="2" t="s">
        <v>164</v>
      </c>
      <c r="E179" s="6">
        <f t="shared" si="15"/>
        <v>8.000006757316628</v>
      </c>
      <c r="F179" s="6">
        <f t="shared" si="15"/>
      </c>
      <c r="G179" s="6">
        <f t="shared" si="15"/>
      </c>
      <c r="H179" s="6">
        <f t="shared" si="15"/>
      </c>
    </row>
    <row r="180" spans="1:8" ht="12" customHeight="1">
      <c r="A180" s="68"/>
      <c r="B180" s="4" t="s">
        <v>37</v>
      </c>
      <c r="C180" s="5" t="s">
        <v>103</v>
      </c>
      <c r="D180" s="2" t="s">
        <v>164</v>
      </c>
      <c r="E180" s="6">
        <f t="shared" si="15"/>
        <v>6.000005067987472</v>
      </c>
      <c r="F180" s="6">
        <f t="shared" si="15"/>
      </c>
      <c r="G180" s="6">
        <f t="shared" si="15"/>
      </c>
      <c r="H180" s="6">
        <f t="shared" si="15"/>
      </c>
    </row>
    <row r="181" spans="1:8" ht="12" customHeight="1">
      <c r="A181" s="68"/>
      <c r="B181" s="4" t="s">
        <v>38</v>
      </c>
      <c r="C181" s="5" t="s">
        <v>103</v>
      </c>
      <c r="D181" s="2" t="s">
        <v>164</v>
      </c>
      <c r="E181" s="6">
        <f t="shared" si="15"/>
        <v>4.000003378658314</v>
      </c>
      <c r="F181" s="6">
        <f t="shared" si="15"/>
      </c>
      <c r="G181" s="6">
        <f t="shared" si="15"/>
      </c>
      <c r="H181" s="6">
        <f t="shared" si="15"/>
      </c>
    </row>
    <row r="182" spans="1:8" ht="12" customHeight="1">
      <c r="A182" s="68"/>
      <c r="B182" s="4" t="s">
        <v>39</v>
      </c>
      <c r="C182" s="5" t="s">
        <v>103</v>
      </c>
      <c r="D182" s="2" t="s">
        <v>164</v>
      </c>
      <c r="E182" s="6">
        <f t="shared" si="15"/>
        <v>3.000002533993736</v>
      </c>
      <c r="F182" s="6">
        <f t="shared" si="15"/>
      </c>
      <c r="G182" s="6">
        <f t="shared" si="15"/>
      </c>
      <c r="H182" s="6">
        <f t="shared" si="15"/>
      </c>
    </row>
    <row r="183" spans="1:8" ht="12" customHeight="1">
      <c r="A183" s="68"/>
      <c r="B183" s="4" t="s">
        <v>40</v>
      </c>
      <c r="C183" s="5" t="s">
        <v>103</v>
      </c>
      <c r="D183" s="2" t="s">
        <v>164</v>
      </c>
      <c r="E183" s="6">
        <f t="shared" si="15"/>
        <v>2.4000020271949887</v>
      </c>
      <c r="F183" s="6">
        <f t="shared" si="15"/>
      </c>
      <c r="G183" s="6">
        <f t="shared" si="15"/>
      </c>
      <c r="H183" s="6">
        <f t="shared" si="15"/>
      </c>
    </row>
    <row r="184" spans="1:8" ht="12" customHeight="1">
      <c r="A184" s="68"/>
      <c r="B184" s="4" t="s">
        <v>41</v>
      </c>
      <c r="C184" s="5" t="s">
        <v>103</v>
      </c>
      <c r="D184" s="2" t="s">
        <v>164</v>
      </c>
      <c r="E184" s="6">
        <f t="shared" si="15"/>
        <v>1.7142871622821347</v>
      </c>
      <c r="F184" s="6">
        <f t="shared" si="15"/>
      </c>
      <c r="G184" s="6">
        <f t="shared" si="15"/>
      </c>
      <c r="H184" s="6">
        <f t="shared" si="15"/>
      </c>
    </row>
    <row r="185" spans="1:8" ht="12" customHeight="1">
      <c r="A185" s="68"/>
      <c r="B185" s="4" t="s">
        <v>42</v>
      </c>
      <c r="C185" s="5" t="s">
        <v>103</v>
      </c>
      <c r="D185" s="2" t="s">
        <v>164</v>
      </c>
      <c r="E185" s="6">
        <f t="shared" si="15"/>
        <v>1.2000010135974943</v>
      </c>
      <c r="F185" s="6">
        <f t="shared" si="15"/>
      </c>
      <c r="G185" s="6">
        <f t="shared" si="15"/>
      </c>
      <c r="H185" s="6">
        <f t="shared" si="15"/>
      </c>
    </row>
    <row r="186" spans="1:8" ht="12" customHeight="1">
      <c r="A186" s="68"/>
      <c r="B186" s="4" t="s">
        <v>43</v>
      </c>
      <c r="C186" s="5" t="s">
        <v>103</v>
      </c>
      <c r="D186" s="2" t="s">
        <v>164</v>
      </c>
      <c r="E186" s="6">
        <f t="shared" si="15"/>
        <v>0.8000006757316627</v>
      </c>
      <c r="F186" s="6">
        <f t="shared" si="15"/>
      </c>
      <c r="G186" s="6">
        <f t="shared" si="15"/>
      </c>
      <c r="H186" s="6">
        <f t="shared" si="15"/>
      </c>
    </row>
    <row r="187" spans="1:8" ht="12" customHeight="1">
      <c r="A187" s="69"/>
      <c r="B187" s="4" t="s">
        <v>44</v>
      </c>
      <c r="C187" s="5" t="s">
        <v>103</v>
      </c>
      <c r="D187" s="2" t="s">
        <v>164</v>
      </c>
      <c r="E187" s="6">
        <f t="shared" si="15"/>
        <v>0.6000005067987472</v>
      </c>
      <c r="F187" s="6">
        <f t="shared" si="15"/>
      </c>
      <c r="G187" s="6">
        <f t="shared" si="15"/>
      </c>
      <c r="H187" s="6">
        <f t="shared" si="15"/>
      </c>
    </row>
  </sheetData>
  <sheetProtection password="BF23" sheet="1" objects="1" scenarios="1"/>
  <mergeCells count="14">
    <mergeCell ref="A122:A143"/>
    <mergeCell ref="A144:A165"/>
    <mergeCell ref="A166:A187"/>
    <mergeCell ref="A34:A55"/>
    <mergeCell ref="A56:A77"/>
    <mergeCell ref="A78:A99"/>
    <mergeCell ref="A100:A121"/>
    <mergeCell ref="A1:F1"/>
    <mergeCell ref="A26:A33"/>
    <mergeCell ref="B16:C16"/>
    <mergeCell ref="A22:A23"/>
    <mergeCell ref="A24:A25"/>
    <mergeCell ref="B28:D28"/>
    <mergeCell ref="B19:D19"/>
  </mergeCells>
  <conditionalFormatting sqref="E19:H19">
    <cfRule type="cellIs" priority="1" dxfId="0" operator="notBetween" stopIfTrue="1">
      <formula>0</formula>
      <formula>1</formula>
    </cfRule>
  </conditionalFormatting>
  <conditionalFormatting sqref="E28:H28">
    <cfRule type="cellIs" priority="2" dxfId="0" operator="notBetween" stopIfTrue="1">
      <formula>0</formula>
      <formula>2</formula>
    </cfRule>
  </conditionalFormatting>
  <printOptions horizontalCentered="1"/>
  <pageMargins left="0.7874015748031497" right="0.3937007874015748" top="0.7874015748031497" bottom="0.3937007874015748" header="0.2755905511811024" footer="0.31496062992125984"/>
  <pageSetup horizontalDpi="600" verticalDpi="600" orientation="portrait" paperSize="9" r:id="rId4"/>
  <headerFooter alignWithMargins="0">
    <oddHeader>&amp;R&amp;P/&amp;N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80" t="s">
        <v>171</v>
      </c>
      <c r="B1" s="81"/>
      <c r="C1" s="81"/>
      <c r="D1" s="81"/>
      <c r="E1" s="81"/>
      <c r="F1" s="82"/>
      <c r="G1" s="28" t="s">
        <v>123</v>
      </c>
      <c r="H1" s="29" t="s">
        <v>122</v>
      </c>
      <c r="I1" s="50" t="s">
        <v>108</v>
      </c>
    </row>
    <row r="2" spans="1:16" ht="15" customHeight="1">
      <c r="A2" s="21"/>
      <c r="B2" s="22"/>
      <c r="C2" s="22"/>
      <c r="D2" s="22"/>
      <c r="E2" s="22"/>
      <c r="F2" s="22"/>
      <c r="G2" s="22"/>
      <c r="H2" s="23"/>
      <c r="I2" s="51" t="s">
        <v>162</v>
      </c>
      <c r="J2" s="1"/>
      <c r="K2" s="1"/>
      <c r="L2" s="1"/>
      <c r="M2" s="1"/>
      <c r="N2" s="1"/>
      <c r="O2" s="1"/>
      <c r="P2" s="1"/>
    </row>
    <row r="3" spans="1:16" ht="15" customHeight="1">
      <c r="A3" s="24"/>
      <c r="B3" s="25"/>
      <c r="C3" s="25"/>
      <c r="D3" s="25"/>
      <c r="E3" s="25"/>
      <c r="F3" s="25"/>
      <c r="G3" s="25"/>
      <c r="H3" s="26"/>
      <c r="I3" s="1" t="s">
        <v>158</v>
      </c>
      <c r="J3" s="1"/>
      <c r="K3" s="1"/>
      <c r="L3" s="1"/>
      <c r="M3" s="1"/>
      <c r="N3" s="1"/>
      <c r="O3" s="1"/>
      <c r="P3" s="1"/>
    </row>
    <row r="4" spans="1:16" ht="15" customHeight="1">
      <c r="A4" s="24"/>
      <c r="B4" s="25"/>
      <c r="C4" s="25"/>
      <c r="D4" s="25"/>
      <c r="E4" s="25"/>
      <c r="F4" s="25"/>
      <c r="G4" s="25"/>
      <c r="H4" s="26"/>
      <c r="I4" s="1" t="s">
        <v>159</v>
      </c>
      <c r="J4" s="1"/>
      <c r="K4" s="1"/>
      <c r="L4" s="1"/>
      <c r="M4" s="1"/>
      <c r="N4" s="1"/>
      <c r="O4" s="1"/>
      <c r="P4" s="1"/>
    </row>
    <row r="5" spans="1:16" ht="15" customHeight="1">
      <c r="A5" s="24"/>
      <c r="B5" s="25"/>
      <c r="C5" s="25"/>
      <c r="D5" s="25"/>
      <c r="E5" s="25"/>
      <c r="F5" s="25"/>
      <c r="G5" s="25"/>
      <c r="H5" s="26"/>
      <c r="I5" s="1" t="s">
        <v>160</v>
      </c>
      <c r="J5" s="1"/>
      <c r="K5" s="1"/>
      <c r="L5" s="1"/>
      <c r="M5" s="1"/>
      <c r="N5" s="1"/>
      <c r="O5" s="1"/>
      <c r="P5" s="1"/>
    </row>
    <row r="6" spans="1:16" ht="15" customHeight="1">
      <c r="A6" s="24"/>
      <c r="B6" s="25"/>
      <c r="C6" s="25"/>
      <c r="D6" s="25"/>
      <c r="E6" s="25"/>
      <c r="F6" s="25"/>
      <c r="G6" s="25"/>
      <c r="H6" s="26"/>
      <c r="I6" s="1" t="s">
        <v>161</v>
      </c>
      <c r="J6" s="1"/>
      <c r="K6" s="1"/>
      <c r="L6" s="1"/>
      <c r="M6" s="1"/>
      <c r="N6" s="1"/>
      <c r="O6" s="1"/>
      <c r="P6" s="1"/>
    </row>
    <row r="7" spans="1:16" ht="15" customHeight="1">
      <c r="A7" s="24"/>
      <c r="B7" s="25"/>
      <c r="C7" s="25"/>
      <c r="D7" s="25"/>
      <c r="E7" s="25"/>
      <c r="F7" s="25"/>
      <c r="G7" s="25"/>
      <c r="H7" s="26"/>
      <c r="I7" s="101" t="s">
        <v>189</v>
      </c>
      <c r="J7" s="1"/>
      <c r="K7" s="1"/>
      <c r="L7" s="1"/>
      <c r="M7" s="1"/>
      <c r="N7" s="1"/>
      <c r="O7" s="1"/>
      <c r="P7" s="1"/>
    </row>
    <row r="8" spans="1:16" ht="15" customHeight="1">
      <c r="A8" s="24"/>
      <c r="B8" s="25"/>
      <c r="C8" s="25"/>
      <c r="D8" s="25"/>
      <c r="E8" s="25"/>
      <c r="F8" s="25"/>
      <c r="G8" s="25"/>
      <c r="H8" s="26"/>
      <c r="I8" s="100" t="s">
        <v>190</v>
      </c>
      <c r="J8" s="1"/>
      <c r="K8" s="1"/>
      <c r="L8" s="1"/>
      <c r="M8" s="1"/>
      <c r="N8" s="1"/>
      <c r="O8" s="1"/>
      <c r="P8" s="1"/>
    </row>
    <row r="9" spans="1:16" ht="15" customHeight="1">
      <c r="A9" s="24"/>
      <c r="B9" s="25"/>
      <c r="C9" s="25"/>
      <c r="D9" s="25"/>
      <c r="E9" s="25"/>
      <c r="F9" s="25"/>
      <c r="G9" s="25"/>
      <c r="H9" s="26"/>
      <c r="I9" s="100" t="s">
        <v>191</v>
      </c>
      <c r="J9" s="1"/>
      <c r="K9" s="1"/>
      <c r="L9" s="1"/>
      <c r="M9" s="1"/>
      <c r="N9" s="1"/>
      <c r="O9" s="1"/>
      <c r="P9" s="1"/>
    </row>
    <row r="10" spans="1:16" ht="15" customHeight="1">
      <c r="A10" s="24"/>
      <c r="B10" s="25"/>
      <c r="C10" s="25"/>
      <c r="D10" s="25"/>
      <c r="E10" s="25"/>
      <c r="F10" s="25"/>
      <c r="G10" s="25"/>
      <c r="H10" s="26"/>
      <c r="I10" s="100" t="s">
        <v>192</v>
      </c>
      <c r="J10" s="1"/>
      <c r="K10" s="1"/>
      <c r="L10" s="1"/>
      <c r="M10" s="1"/>
      <c r="N10" s="1"/>
      <c r="O10" s="1"/>
      <c r="P10" s="1"/>
    </row>
    <row r="11" spans="1:16" ht="15" customHeight="1">
      <c r="A11" s="24"/>
      <c r="B11" s="25"/>
      <c r="C11" s="25"/>
      <c r="D11" s="25"/>
      <c r="E11" s="25"/>
      <c r="F11" s="25"/>
      <c r="G11" s="25"/>
      <c r="H11" s="26"/>
      <c r="I11" s="100" t="s">
        <v>193</v>
      </c>
      <c r="J11" s="1"/>
      <c r="K11" s="1"/>
      <c r="L11" s="1"/>
      <c r="M11" s="1"/>
      <c r="N11" s="1"/>
      <c r="O11" s="1"/>
      <c r="P11" s="1"/>
    </row>
    <row r="12" spans="1:16" ht="15" customHeight="1">
      <c r="A12" s="24"/>
      <c r="B12" s="25"/>
      <c r="C12" s="25"/>
      <c r="D12" s="25"/>
      <c r="E12" s="25"/>
      <c r="F12" s="25"/>
      <c r="G12" s="25"/>
      <c r="H12" s="26"/>
      <c r="I12" s="100" t="s">
        <v>194</v>
      </c>
      <c r="J12" s="1"/>
      <c r="K12" s="1"/>
      <c r="L12" s="1"/>
      <c r="M12" s="1"/>
      <c r="N12" s="1"/>
      <c r="O12" s="1"/>
      <c r="P12" s="1"/>
    </row>
    <row r="13" spans="1:16" ht="15" customHeight="1">
      <c r="A13" s="24"/>
      <c r="B13" s="25"/>
      <c r="C13" s="25"/>
      <c r="D13" s="25"/>
      <c r="E13" s="25"/>
      <c r="F13" s="25"/>
      <c r="G13" s="25"/>
      <c r="H13" s="26"/>
      <c r="I13" s="99" t="s">
        <v>195</v>
      </c>
      <c r="J13" s="1"/>
      <c r="K13" s="1"/>
      <c r="L13" s="1"/>
      <c r="M13" s="1"/>
      <c r="N13" s="1"/>
      <c r="O13" s="1"/>
      <c r="P13" s="1"/>
    </row>
    <row r="14" spans="1:16" ht="15" customHeight="1">
      <c r="A14" s="24"/>
      <c r="B14" s="25"/>
      <c r="C14" s="25"/>
      <c r="D14" s="25"/>
      <c r="E14" s="25"/>
      <c r="F14" s="25"/>
      <c r="G14" s="25"/>
      <c r="H14" s="26"/>
      <c r="I14" s="100" t="s">
        <v>196</v>
      </c>
      <c r="J14" s="1"/>
      <c r="K14" s="1"/>
      <c r="L14" s="1"/>
      <c r="M14" s="1"/>
      <c r="N14" s="1"/>
      <c r="O14" s="1"/>
      <c r="P14" s="1"/>
    </row>
    <row r="15" spans="1:16" ht="15" customHeight="1">
      <c r="A15" s="24"/>
      <c r="B15" s="25"/>
      <c r="C15" s="25"/>
      <c r="D15" s="25"/>
      <c r="E15" s="25"/>
      <c r="F15" s="25"/>
      <c r="G15" s="25"/>
      <c r="H15" s="26"/>
      <c r="I15" s="1"/>
      <c r="J15" s="1"/>
      <c r="K15" s="1"/>
      <c r="L15" s="1"/>
      <c r="M15" s="1"/>
      <c r="N15" s="1"/>
      <c r="O15" s="1"/>
      <c r="P15" s="1"/>
    </row>
    <row r="16" spans="1:16" ht="12" customHeight="1">
      <c r="A16" s="27" t="s">
        <v>72</v>
      </c>
      <c r="B16" s="70" t="s">
        <v>80</v>
      </c>
      <c r="C16" s="71"/>
      <c r="D16" s="27" t="s">
        <v>88</v>
      </c>
      <c r="E16" s="2" t="s">
        <v>121</v>
      </c>
      <c r="F16" s="2" t="s">
        <v>124</v>
      </c>
      <c r="G16" s="2" t="s">
        <v>128</v>
      </c>
      <c r="H16" s="31" t="s">
        <v>136</v>
      </c>
      <c r="I16" s="1"/>
      <c r="J16" s="1"/>
      <c r="K16" s="1"/>
      <c r="L16" s="1"/>
      <c r="M16" s="1"/>
      <c r="N16" s="1"/>
      <c r="O16" s="1"/>
      <c r="P16" s="1"/>
    </row>
    <row r="17" spans="1:16" ht="12" customHeight="1">
      <c r="A17" s="11" t="s">
        <v>141</v>
      </c>
      <c r="B17" s="13" t="s">
        <v>142</v>
      </c>
      <c r="C17" s="14" t="s">
        <v>149</v>
      </c>
      <c r="D17" s="2" t="s">
        <v>2</v>
      </c>
      <c r="E17" s="16">
        <v>6</v>
      </c>
      <c r="F17" s="16">
        <v>6</v>
      </c>
      <c r="G17" s="16">
        <v>6</v>
      </c>
      <c r="H17" s="16">
        <v>6</v>
      </c>
      <c r="I17" s="1"/>
      <c r="J17" s="1"/>
      <c r="K17" s="1"/>
      <c r="L17" s="1"/>
      <c r="M17" s="1"/>
      <c r="N17" s="1"/>
      <c r="O17" s="1"/>
      <c r="P17" s="1"/>
    </row>
    <row r="18" spans="1:16" ht="12" customHeight="1">
      <c r="A18" s="10" t="s">
        <v>143</v>
      </c>
      <c r="B18" s="13" t="s">
        <v>142</v>
      </c>
      <c r="C18" s="11" t="s">
        <v>150</v>
      </c>
      <c r="D18" s="2" t="s">
        <v>3</v>
      </c>
      <c r="E18" s="39">
        <v>91</v>
      </c>
      <c r="F18" s="39">
        <v>91</v>
      </c>
      <c r="G18" s="39">
        <v>91</v>
      </c>
      <c r="H18" s="39">
        <v>91</v>
      </c>
      <c r="I18" s="1"/>
      <c r="J18" s="1"/>
      <c r="K18" s="1"/>
      <c r="L18" s="1"/>
      <c r="M18" s="1"/>
      <c r="N18" s="1"/>
      <c r="O18" s="1"/>
      <c r="P18" s="1"/>
    </row>
    <row r="19" spans="1:16" ht="12" customHeight="1">
      <c r="A19" s="10" t="s">
        <v>148</v>
      </c>
      <c r="B19" s="83" t="s">
        <v>147</v>
      </c>
      <c r="C19" s="84"/>
      <c r="D19" s="85"/>
      <c r="E19" s="9"/>
      <c r="F19" s="9"/>
      <c r="G19" s="9"/>
      <c r="H19" s="9"/>
      <c r="I19" s="1"/>
      <c r="J19" s="1"/>
      <c r="K19" s="1"/>
      <c r="L19" s="1"/>
      <c r="M19" s="1"/>
      <c r="N19" s="1"/>
      <c r="O19" s="1"/>
      <c r="P19" s="1"/>
    </row>
    <row r="20" spans="1:16" ht="12" customHeight="1">
      <c r="A20" s="11" t="s">
        <v>144</v>
      </c>
      <c r="B20" s="49" t="s">
        <v>146</v>
      </c>
      <c r="C20" s="11" t="s">
        <v>59</v>
      </c>
      <c r="D20" s="2" t="s">
        <v>4</v>
      </c>
      <c r="E20" s="48">
        <f>IF(OR(AND(F20&lt;&gt;0,F21&lt;&gt;0,F20&gt;=F21),AND(G20&lt;&gt;0,G21&lt;&gt;0,G20&gt;=G21)),"周波数不適","")</f>
      </c>
      <c r="F20" s="9"/>
      <c r="G20" s="9">
        <v>2000</v>
      </c>
      <c r="H20" s="9"/>
      <c r="I20" s="1"/>
      <c r="J20" s="1"/>
      <c r="K20" s="1"/>
      <c r="L20" s="1"/>
      <c r="M20" s="1"/>
      <c r="N20" s="1"/>
      <c r="O20" s="1"/>
      <c r="P20" s="1"/>
    </row>
    <row r="21" spans="1:16" ht="12" customHeight="1">
      <c r="A21" s="11" t="s">
        <v>145</v>
      </c>
      <c r="B21" s="49" t="s">
        <v>146</v>
      </c>
      <c r="C21" s="11" t="s">
        <v>60</v>
      </c>
      <c r="D21" s="2" t="s">
        <v>45</v>
      </c>
      <c r="E21" s="9">
        <v>2000</v>
      </c>
      <c r="F21" s="9"/>
      <c r="G21" s="9"/>
      <c r="H21" s="17"/>
      <c r="I21" s="1"/>
      <c r="J21" s="1"/>
      <c r="K21" s="1"/>
      <c r="L21" s="1"/>
      <c r="M21" s="1"/>
      <c r="N21" s="1"/>
      <c r="O21" s="1"/>
      <c r="P21" s="1"/>
    </row>
    <row r="22" spans="1:16" ht="12" customHeight="1">
      <c r="A22" s="78" t="s">
        <v>151</v>
      </c>
      <c r="B22" s="10" t="s">
        <v>78</v>
      </c>
      <c r="C22" s="11" t="s">
        <v>65</v>
      </c>
      <c r="D22" s="2" t="s">
        <v>104</v>
      </c>
      <c r="E22" s="17"/>
      <c r="F22" s="3">
        <f>IF(F$20="","",F$17*10^3/(2^1.5*PI()*F20))</f>
      </c>
      <c r="G22" s="3">
        <f>IF(G$20="","",G$17*10^3/(2^1.5*PI()*G20))</f>
        <v>0.3376186185589148</v>
      </c>
      <c r="H22" s="3">
        <f>IF(H$20="","",H$17*10^3/(2^1.5*PI()*H20))</f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79"/>
      <c r="B23" s="10" t="s">
        <v>79</v>
      </c>
      <c r="C23" s="11" t="s">
        <v>66</v>
      </c>
      <c r="D23" s="52" t="s">
        <v>105</v>
      </c>
      <c r="E23" s="12"/>
      <c r="F23" s="3">
        <f>IF(F$20="","",10^6/(2^0.5*PI()*F20*F$17))</f>
      </c>
      <c r="G23" s="3">
        <f>IF(G$20="","",10^6/(2^0.5*PI()*G20*G$17))</f>
        <v>18.75658991993971</v>
      </c>
      <c r="H23" s="3">
        <f>IF(H$20="","",10^6/(2^0.5*PI()*H20*H$17))</f>
      </c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78" t="s">
        <v>152</v>
      </c>
      <c r="B24" s="10" t="s">
        <v>78</v>
      </c>
      <c r="C24" s="11" t="s">
        <v>67</v>
      </c>
      <c r="D24" s="2" t="s">
        <v>104</v>
      </c>
      <c r="E24" s="3">
        <f>IF(E$21="","",E$17*10^3/(2^1.5*PI()*E21))</f>
        <v>0.3376186185589148</v>
      </c>
      <c r="F24" s="3">
        <f>IF(F$21="","",F$17*10^3/(2^1.5*PI()*F21))</f>
      </c>
      <c r="G24" s="3">
        <f>IF(G$21="","",G$17*10^3/(2^1.5*PI()*G21))</f>
      </c>
      <c r="H24" s="12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79"/>
      <c r="B25" s="10" t="s">
        <v>79</v>
      </c>
      <c r="C25" s="11" t="s">
        <v>68</v>
      </c>
      <c r="D25" s="52" t="s">
        <v>105</v>
      </c>
      <c r="E25" s="3">
        <f>IF(E$21="","",10^6/(2^0.5*PI()*E21*E$17))</f>
        <v>18.75658991993971</v>
      </c>
      <c r="F25" s="3">
        <f>IF(F$21="","",10^6/(2^0.5*PI()*F21*F$17))</f>
      </c>
      <c r="G25" s="3">
        <f>IF(G$21="","",10^6/(2^0.5*PI()*G21*G$17))</f>
      </c>
      <c r="H25" s="12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72" t="s">
        <v>75</v>
      </c>
      <c r="B26" s="10" t="s">
        <v>84</v>
      </c>
      <c r="C26" s="11" t="s">
        <v>153</v>
      </c>
      <c r="D26" s="2" t="s">
        <v>100</v>
      </c>
      <c r="E26" s="16">
        <v>6</v>
      </c>
      <c r="F26" s="16">
        <v>6</v>
      </c>
      <c r="G26" s="16">
        <v>6</v>
      </c>
      <c r="H26" s="16">
        <v>6</v>
      </c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73"/>
      <c r="B27" s="10" t="s">
        <v>81</v>
      </c>
      <c r="C27" s="11" t="s">
        <v>154</v>
      </c>
      <c r="D27" s="2" t="s">
        <v>0</v>
      </c>
      <c r="E27" s="39">
        <v>91</v>
      </c>
      <c r="F27" s="39">
        <v>91</v>
      </c>
      <c r="G27" s="39">
        <v>105</v>
      </c>
      <c r="H27" s="39">
        <v>91</v>
      </c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73"/>
      <c r="B28" s="83" t="s">
        <v>163</v>
      </c>
      <c r="C28" s="84"/>
      <c r="D28" s="85"/>
      <c r="E28" s="9"/>
      <c r="F28" s="9"/>
      <c r="G28" s="9">
        <v>1</v>
      </c>
      <c r="H28" s="9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73"/>
      <c r="B29" s="10" t="s">
        <v>83</v>
      </c>
      <c r="C29" s="11" t="s">
        <v>126</v>
      </c>
      <c r="D29" s="2" t="s">
        <v>107</v>
      </c>
      <c r="E29" s="12">
        <f>IF(E$17*E$18*E$26*E$27=0,"",IF(E$28=0,"",IF(E$18&gt;E$27+10*LOG(E$17/E$26),"Unable",IF(E$26/(10^((E$18-E$27-10*LOG(E$17/E$26))/20))-E$17=0,"Blank",IF(E$28=2,IF(E$17&gt;=E$26,"Blank",E$17*E$26/ABS(E$26-E$17)),E$17*E$26/ABS(E$26/(10^((E$18-E$27-10*LOG(E$17/E$26))/20))-E$17))))))</f>
      </c>
      <c r="F29" s="12">
        <f>IF(F$17*F$18*F$26*F$27=0,"",IF(F$28=0,"",IF(F$18&gt;F$27+10*LOG(F$17/F$26),"Unable",IF(F$26/(10^((F$18-F$27-10*LOG(F$17/F$26))/20))-F$17=0,"Blank",IF(F$28=2,IF(F$17&gt;=F$26,"Blank",F$17*F$26/ABS(F$26-F$17)),F$17*F$26/ABS(F$26/(10^((F$18-F$27-10*LOG(F$17/F$26))/20))-F$17))))))</f>
      </c>
      <c r="G29" s="12">
        <f>IF(G$17*G$18*G$26*G$27=0,"",IF(G$28=0,"",IF(G$18&gt;G$27+10*LOG(G$17/G$26),"Unable",IF(G$26/(10^((G$18-G$27-10*LOG(G$17/G$26))/20))-G$17=0,"Blank",IF(G$28=2,IF(G$17&gt;=G$26,"Blank",G$17*G$26/ABS(G$26-G$17)),G$17*G$26/ABS(G$26/(10^((G$18-G$27-10*LOG(G$17/G$26))/20))-G$17))))))</f>
        <v>1.4955610490772422</v>
      </c>
      <c r="H29" s="12">
        <f>IF(H$17*H$18*H$26*H$27=0,"",IF(H$28=0,"",IF(H$18&gt;H$27+10*LOG(H$17/H$26),"Unable",IF(H$26/(10^((H$18-H$27-10*LOG(H$17/H$26))/20))-H$17=0,"Blank",IF(H$28=2,IF(H$17&gt;=H$26,"Blank",H$17*H$26/ABS(H$26-H$17)),H$17*H$26/ABS(H$26/(10^((H$18-H$27-10*LOG(H$17/H$26))/20))-H$17))))))</f>
      </c>
      <c r="I29" s="1"/>
      <c r="J29" s="1"/>
      <c r="K29" s="1"/>
      <c r="L29" s="1"/>
      <c r="M29" s="1"/>
      <c r="N29" s="1"/>
      <c r="O29" s="1"/>
      <c r="P29" s="1"/>
    </row>
    <row r="30" spans="1:16" ht="12" customHeight="1">
      <c r="A30" s="73"/>
      <c r="B30" s="10" t="s">
        <v>85</v>
      </c>
      <c r="C30" s="11" t="s">
        <v>127</v>
      </c>
      <c r="D30" s="2" t="s">
        <v>107</v>
      </c>
      <c r="E30" s="12">
        <f>IF(E$17*E$18*E$26*E$27=0,"",IF(E$28=0,"",IF(E$27+E$33&lt;E$18,"Unable",IF(E$29="Unable","Unable",IF(E$29="Blank",E$17-E$26,E$17-E$29*E$26/(E$29+E$26))))))</f>
      </c>
      <c r="F30" s="12">
        <f>IF(F$17*F$18*F$26*F$27=0,"",IF(F$28=0,"",IF(F$27+F$33&lt;F$18,"Unable",IF(F$29="Unable","Unable",IF(F$29="Blank",F$17-F$26,F$17-F$29*F$26/(F$29+F$26))))))</f>
      </c>
      <c r="G30" s="12">
        <f>IF(G$17*G$18*G$26*G$27=0,"",IF(G$28=0,"",IF(G$27+G$33&lt;G$18,"Unable",IF(G$29="Unable","Unable",IF(G$29="Blank",G$17-G$26,G$17-G$29*G$26/(G$29+G$26))))))</f>
        <v>4.802842611018672</v>
      </c>
      <c r="H30" s="12">
        <f>IF(H$17*H$18*H$26*H$27=0,"",IF(H$28=0,"",IF(H$27+H$33&lt;H$18,"Unable",IF(H$29="Unable","Unable",IF(H$29="Blank",H$17-H$26,H$17-H$29*H$26/(H$29+H$26))))))</f>
      </c>
      <c r="I30" s="1"/>
      <c r="J30" s="1"/>
      <c r="K30" s="1"/>
      <c r="L30" s="1"/>
      <c r="M30" s="1"/>
      <c r="N30" s="1"/>
      <c r="O30" s="1"/>
      <c r="P30" s="1"/>
    </row>
    <row r="31" spans="1:16" ht="12" customHeight="1">
      <c r="A31" s="73"/>
      <c r="B31" s="10" t="s">
        <v>86</v>
      </c>
      <c r="C31" s="19" t="s">
        <v>57</v>
      </c>
      <c r="D31" s="2" t="s">
        <v>107</v>
      </c>
      <c r="E31" s="20">
        <f>IF(E$17*E$18*E$26*E$27=0,"",IF(OR(E$28=1,E$28=2),E$17,E$26))</f>
        <v>6</v>
      </c>
      <c r="F31" s="20">
        <f>IF(F$17*F$18*F$26*F$27=0,"",IF(OR(F$28=1,F$28=2),F$17,F$26))</f>
        <v>6</v>
      </c>
      <c r="G31" s="20">
        <f>IF(G$17*G$18*G$26*G$27=0,"",IF(OR(G$28=1,G$28=2),G$17,G$26))</f>
        <v>6</v>
      </c>
      <c r="H31" s="20">
        <f>IF(H$17*H$18*H$26*H$27=0,"",IF(OR(H$28=1,H$28=2),H$17,H$26))</f>
        <v>6</v>
      </c>
      <c r="I31" s="1"/>
      <c r="J31" s="1"/>
      <c r="K31" s="1"/>
      <c r="L31" s="1"/>
      <c r="M31" s="1"/>
      <c r="N31" s="1"/>
      <c r="O31" s="1"/>
      <c r="P31" s="1"/>
    </row>
    <row r="32" spans="1:16" ht="12" customHeight="1">
      <c r="A32" s="73"/>
      <c r="B32" s="10" t="s">
        <v>87</v>
      </c>
      <c r="C32" s="11" t="s">
        <v>58</v>
      </c>
      <c r="D32" s="2" t="s">
        <v>89</v>
      </c>
      <c r="E32" s="12">
        <f>IF(E$17*E$18*E$26*E$27=0,"",10^(E$33/20))</f>
        <v>1</v>
      </c>
      <c r="F32" s="12">
        <f>IF(F$17*F$18*F$26*F$27=0,"",10^(F$33/20))</f>
        <v>1</v>
      </c>
      <c r="G32" s="12">
        <f>IF(G$17*G$18*G$26*G$27=0,"",10^(G$33/20))</f>
        <v>1</v>
      </c>
      <c r="H32" s="12">
        <f>IF(H$17*H$18*H$26*H$27=0,"",10^(H$33/20))</f>
        <v>1</v>
      </c>
      <c r="I32" s="1"/>
      <c r="J32" s="1"/>
      <c r="K32" s="1"/>
      <c r="L32" s="1"/>
      <c r="M32" s="1"/>
      <c r="N32" s="1"/>
      <c r="O32" s="1"/>
      <c r="P32" s="1"/>
    </row>
    <row r="33" spans="1:16" ht="12" customHeight="1">
      <c r="A33" s="74"/>
      <c r="B33" s="10" t="s">
        <v>87</v>
      </c>
      <c r="C33" s="11" t="s">
        <v>58</v>
      </c>
      <c r="D33" s="2" t="s">
        <v>98</v>
      </c>
      <c r="E33" s="12">
        <f>IF(E$17*E$18*E$26*E$27=0,"",IF(E$28=1,0,E$27-E$18+10*LOG(E$17/E$26)+IF(E$28=2,IF(E$29="Blank",20*LOG(E$26/E$31),20*LOG(E$26*E$29/((E$26+E$29)*E$31))),0)))</f>
        <v>0</v>
      </c>
      <c r="F33" s="12">
        <f>IF(F$17*F$18*F$26*F$27=0,"",IF(F$28=1,0,F$27-F$18+10*LOG(F$17/F$26)+IF(F$28=2,IF(F$29="Blank",20*LOG(F$26/F$31),20*LOG(F$26*F$29/((F$26+F$29)*F$31))),0)))</f>
        <v>0</v>
      </c>
      <c r="G33" s="12">
        <f>IF(G$17*G$18*G$26*G$27=0,"",IF(G$28=1,0,G$27-G$18+10*LOG(G$17/G$26)+IF(G$28=2,IF(G$29="Blank",20*LOG(G$26/G$31),20*LOG(G$26*G$29/((G$26+G$29)*G$31))),0)))</f>
        <v>0</v>
      </c>
      <c r="H33" s="12">
        <f>IF(H$17*H$18*H$26*H$27=0,"",IF(H$28=1,0,H$27-H$18+10*LOG(H$17/H$26)+IF(H$28=2,IF(H$29="Blank",20*LOG(H$26/H$31),20*LOG(H$26*H$29/((H$26+H$29)*H$31))),0)))</f>
        <v>0</v>
      </c>
      <c r="I33" s="1"/>
      <c r="J33" s="1"/>
      <c r="K33" s="1"/>
      <c r="L33" s="1"/>
      <c r="M33" s="1"/>
      <c r="N33" s="1"/>
      <c r="O33" s="1"/>
      <c r="P33" s="1"/>
    </row>
    <row r="34" spans="1:8" ht="12" customHeight="1">
      <c r="A34" s="77" t="s">
        <v>73</v>
      </c>
      <c r="B34" s="4">
        <v>20</v>
      </c>
      <c r="C34" s="5" t="s">
        <v>103</v>
      </c>
      <c r="D34" s="2" t="s">
        <v>164</v>
      </c>
      <c r="E34" s="6">
        <f aca="true" t="shared" si="0" ref="E34:H55">E$17</f>
        <v>6</v>
      </c>
      <c r="F34" s="6">
        <f t="shared" si="0"/>
        <v>6</v>
      </c>
      <c r="G34" s="6">
        <f t="shared" si="0"/>
        <v>6</v>
      </c>
      <c r="H34" s="6">
        <f t="shared" si="0"/>
        <v>6</v>
      </c>
    </row>
    <row r="35" spans="1:8" ht="12" customHeight="1">
      <c r="A35" s="77"/>
      <c r="B35" s="4">
        <v>30</v>
      </c>
      <c r="C35" s="5" t="s">
        <v>103</v>
      </c>
      <c r="D35" s="2" t="s">
        <v>164</v>
      </c>
      <c r="E35" s="6">
        <f t="shared" si="0"/>
        <v>6</v>
      </c>
      <c r="F35" s="6">
        <f t="shared" si="0"/>
        <v>6</v>
      </c>
      <c r="G35" s="6">
        <f t="shared" si="0"/>
        <v>6</v>
      </c>
      <c r="H35" s="6">
        <f t="shared" si="0"/>
        <v>6</v>
      </c>
    </row>
    <row r="36" spans="1:8" ht="12" customHeight="1">
      <c r="A36" s="77"/>
      <c r="B36" s="4">
        <v>40</v>
      </c>
      <c r="C36" s="5" t="s">
        <v>103</v>
      </c>
      <c r="D36" s="2" t="s">
        <v>164</v>
      </c>
      <c r="E36" s="6">
        <f t="shared" si="0"/>
        <v>6</v>
      </c>
      <c r="F36" s="6">
        <f t="shared" si="0"/>
        <v>6</v>
      </c>
      <c r="G36" s="6">
        <f t="shared" si="0"/>
        <v>6</v>
      </c>
      <c r="H36" s="6">
        <f t="shared" si="0"/>
        <v>6</v>
      </c>
    </row>
    <row r="37" spans="1:8" ht="12" customHeight="1">
      <c r="A37" s="86"/>
      <c r="B37" s="4">
        <v>50</v>
      </c>
      <c r="C37" s="5" t="s">
        <v>103</v>
      </c>
      <c r="D37" s="2" t="s">
        <v>164</v>
      </c>
      <c r="E37" s="6">
        <f t="shared" si="0"/>
        <v>6</v>
      </c>
      <c r="F37" s="6">
        <f t="shared" si="0"/>
        <v>6</v>
      </c>
      <c r="G37" s="6">
        <f t="shared" si="0"/>
        <v>6</v>
      </c>
      <c r="H37" s="6">
        <f t="shared" si="0"/>
        <v>6</v>
      </c>
    </row>
    <row r="38" spans="1:8" ht="12" customHeight="1">
      <c r="A38" s="86"/>
      <c r="B38" s="4">
        <v>70</v>
      </c>
      <c r="C38" s="5" t="s">
        <v>103</v>
      </c>
      <c r="D38" s="2" t="s">
        <v>164</v>
      </c>
      <c r="E38" s="6">
        <f t="shared" si="0"/>
        <v>6</v>
      </c>
      <c r="F38" s="6">
        <f t="shared" si="0"/>
        <v>6</v>
      </c>
      <c r="G38" s="6">
        <f t="shared" si="0"/>
        <v>6</v>
      </c>
      <c r="H38" s="6">
        <f t="shared" si="0"/>
        <v>6</v>
      </c>
    </row>
    <row r="39" spans="1:8" ht="12" customHeight="1">
      <c r="A39" s="86"/>
      <c r="B39" s="4">
        <v>100</v>
      </c>
      <c r="C39" s="5" t="s">
        <v>103</v>
      </c>
      <c r="D39" s="2" t="s">
        <v>164</v>
      </c>
      <c r="E39" s="6">
        <f t="shared" si="0"/>
        <v>6</v>
      </c>
      <c r="F39" s="6">
        <f t="shared" si="0"/>
        <v>6</v>
      </c>
      <c r="G39" s="6">
        <f t="shared" si="0"/>
        <v>6</v>
      </c>
      <c r="H39" s="6">
        <f t="shared" si="0"/>
        <v>6</v>
      </c>
    </row>
    <row r="40" spans="1:8" ht="12" customHeight="1">
      <c r="A40" s="86"/>
      <c r="B40" s="4">
        <v>150</v>
      </c>
      <c r="C40" s="5" t="s">
        <v>103</v>
      </c>
      <c r="D40" s="2" t="s">
        <v>164</v>
      </c>
      <c r="E40" s="6">
        <f t="shared" si="0"/>
        <v>6</v>
      </c>
      <c r="F40" s="6">
        <f t="shared" si="0"/>
        <v>6</v>
      </c>
      <c r="G40" s="6">
        <f t="shared" si="0"/>
        <v>6</v>
      </c>
      <c r="H40" s="6">
        <f t="shared" si="0"/>
        <v>6</v>
      </c>
    </row>
    <row r="41" spans="1:8" ht="12" customHeight="1">
      <c r="A41" s="86"/>
      <c r="B41" s="4">
        <v>200</v>
      </c>
      <c r="C41" s="5" t="s">
        <v>103</v>
      </c>
      <c r="D41" s="2" t="s">
        <v>164</v>
      </c>
      <c r="E41" s="6">
        <f t="shared" si="0"/>
        <v>6</v>
      </c>
      <c r="F41" s="6">
        <f t="shared" si="0"/>
        <v>6</v>
      </c>
      <c r="G41" s="6">
        <f t="shared" si="0"/>
        <v>6</v>
      </c>
      <c r="H41" s="6">
        <f t="shared" si="0"/>
        <v>6</v>
      </c>
    </row>
    <row r="42" spans="1:8" ht="12" customHeight="1">
      <c r="A42" s="86"/>
      <c r="B42" s="4">
        <v>300</v>
      </c>
      <c r="C42" s="5" t="s">
        <v>103</v>
      </c>
      <c r="D42" s="2" t="s">
        <v>164</v>
      </c>
      <c r="E42" s="6">
        <f t="shared" si="0"/>
        <v>6</v>
      </c>
      <c r="F42" s="6">
        <f t="shared" si="0"/>
        <v>6</v>
      </c>
      <c r="G42" s="6">
        <f t="shared" si="0"/>
        <v>6</v>
      </c>
      <c r="H42" s="6">
        <f t="shared" si="0"/>
        <v>6</v>
      </c>
    </row>
    <row r="43" spans="1:8" ht="12" customHeight="1">
      <c r="A43" s="86"/>
      <c r="B43" s="4">
        <v>400</v>
      </c>
      <c r="C43" s="5" t="s">
        <v>103</v>
      </c>
      <c r="D43" s="2" t="s">
        <v>164</v>
      </c>
      <c r="E43" s="6">
        <f t="shared" si="0"/>
        <v>6</v>
      </c>
      <c r="F43" s="6">
        <f t="shared" si="0"/>
        <v>6</v>
      </c>
      <c r="G43" s="6">
        <f t="shared" si="0"/>
        <v>6</v>
      </c>
      <c r="H43" s="6">
        <f t="shared" si="0"/>
        <v>6</v>
      </c>
    </row>
    <row r="44" spans="1:8" ht="12" customHeight="1">
      <c r="A44" s="86"/>
      <c r="B44" s="4">
        <v>500</v>
      </c>
      <c r="C44" s="5" t="s">
        <v>103</v>
      </c>
      <c r="D44" s="2" t="s">
        <v>164</v>
      </c>
      <c r="E44" s="6">
        <f t="shared" si="0"/>
        <v>6</v>
      </c>
      <c r="F44" s="6">
        <f t="shared" si="0"/>
        <v>6</v>
      </c>
      <c r="G44" s="6">
        <f t="shared" si="0"/>
        <v>6</v>
      </c>
      <c r="H44" s="6">
        <f t="shared" si="0"/>
        <v>6</v>
      </c>
    </row>
    <row r="45" spans="1:8" ht="12" customHeight="1">
      <c r="A45" s="86"/>
      <c r="B45" s="4">
        <v>700</v>
      </c>
      <c r="C45" s="5" t="s">
        <v>103</v>
      </c>
      <c r="D45" s="2" t="s">
        <v>164</v>
      </c>
      <c r="E45" s="6">
        <f t="shared" si="0"/>
        <v>6</v>
      </c>
      <c r="F45" s="6">
        <f t="shared" si="0"/>
        <v>6</v>
      </c>
      <c r="G45" s="6">
        <f t="shared" si="0"/>
        <v>6</v>
      </c>
      <c r="H45" s="6">
        <f t="shared" si="0"/>
        <v>6</v>
      </c>
    </row>
    <row r="46" spans="1:8" ht="12" customHeight="1">
      <c r="A46" s="86"/>
      <c r="B46" s="4" t="s">
        <v>46</v>
      </c>
      <c r="C46" s="5" t="s">
        <v>103</v>
      </c>
      <c r="D46" s="2" t="s">
        <v>164</v>
      </c>
      <c r="E46" s="6">
        <f t="shared" si="0"/>
        <v>6</v>
      </c>
      <c r="F46" s="6">
        <f t="shared" si="0"/>
        <v>6</v>
      </c>
      <c r="G46" s="6">
        <f t="shared" si="0"/>
        <v>6</v>
      </c>
      <c r="H46" s="6">
        <f t="shared" si="0"/>
        <v>6</v>
      </c>
    </row>
    <row r="47" spans="1:8" ht="12" customHeight="1">
      <c r="A47" s="86"/>
      <c r="B47" s="4" t="s">
        <v>47</v>
      </c>
      <c r="C47" s="5" t="s">
        <v>103</v>
      </c>
      <c r="D47" s="2" t="s">
        <v>164</v>
      </c>
      <c r="E47" s="6">
        <f t="shared" si="0"/>
        <v>6</v>
      </c>
      <c r="F47" s="6">
        <f t="shared" si="0"/>
        <v>6</v>
      </c>
      <c r="G47" s="6">
        <f t="shared" si="0"/>
        <v>6</v>
      </c>
      <c r="H47" s="6">
        <f t="shared" si="0"/>
        <v>6</v>
      </c>
    </row>
    <row r="48" spans="1:8" ht="12" customHeight="1">
      <c r="A48" s="86"/>
      <c r="B48" s="4" t="s">
        <v>48</v>
      </c>
      <c r="C48" s="5" t="s">
        <v>103</v>
      </c>
      <c r="D48" s="2" t="s">
        <v>164</v>
      </c>
      <c r="E48" s="6">
        <f t="shared" si="0"/>
        <v>6</v>
      </c>
      <c r="F48" s="6">
        <f t="shared" si="0"/>
        <v>6</v>
      </c>
      <c r="G48" s="6">
        <f t="shared" si="0"/>
        <v>6</v>
      </c>
      <c r="H48" s="6">
        <f t="shared" si="0"/>
        <v>6</v>
      </c>
    </row>
    <row r="49" spans="1:8" ht="12" customHeight="1">
      <c r="A49" s="86"/>
      <c r="B49" s="4" t="s">
        <v>49</v>
      </c>
      <c r="C49" s="5" t="s">
        <v>103</v>
      </c>
      <c r="D49" s="2" t="s">
        <v>164</v>
      </c>
      <c r="E49" s="6">
        <f t="shared" si="0"/>
        <v>6</v>
      </c>
      <c r="F49" s="6">
        <f t="shared" si="0"/>
        <v>6</v>
      </c>
      <c r="G49" s="6">
        <f t="shared" si="0"/>
        <v>6</v>
      </c>
      <c r="H49" s="6">
        <f t="shared" si="0"/>
        <v>6</v>
      </c>
    </row>
    <row r="50" spans="1:8" ht="12" customHeight="1">
      <c r="A50" s="86"/>
      <c r="B50" s="4" t="s">
        <v>50</v>
      </c>
      <c r="C50" s="5" t="s">
        <v>103</v>
      </c>
      <c r="D50" s="2" t="s">
        <v>164</v>
      </c>
      <c r="E50" s="6">
        <f t="shared" si="0"/>
        <v>6</v>
      </c>
      <c r="F50" s="6">
        <f t="shared" si="0"/>
        <v>6</v>
      </c>
      <c r="G50" s="6">
        <f t="shared" si="0"/>
        <v>6</v>
      </c>
      <c r="H50" s="6">
        <f t="shared" si="0"/>
        <v>6</v>
      </c>
    </row>
    <row r="51" spans="1:8" ht="12" customHeight="1">
      <c r="A51" s="86"/>
      <c r="B51" s="4" t="s">
        <v>51</v>
      </c>
      <c r="C51" s="5" t="s">
        <v>103</v>
      </c>
      <c r="D51" s="2" t="s">
        <v>164</v>
      </c>
      <c r="E51" s="6">
        <f t="shared" si="0"/>
        <v>6</v>
      </c>
      <c r="F51" s="6">
        <f t="shared" si="0"/>
        <v>6</v>
      </c>
      <c r="G51" s="6">
        <f t="shared" si="0"/>
        <v>6</v>
      </c>
      <c r="H51" s="6">
        <f t="shared" si="0"/>
        <v>6</v>
      </c>
    </row>
    <row r="52" spans="1:8" ht="12" customHeight="1">
      <c r="A52" s="86"/>
      <c r="B52" s="4" t="s">
        <v>52</v>
      </c>
      <c r="C52" s="5" t="s">
        <v>103</v>
      </c>
      <c r="D52" s="2" t="s">
        <v>164</v>
      </c>
      <c r="E52" s="6">
        <f t="shared" si="0"/>
        <v>6</v>
      </c>
      <c r="F52" s="6">
        <f t="shared" si="0"/>
        <v>6</v>
      </c>
      <c r="G52" s="6">
        <f t="shared" si="0"/>
        <v>6</v>
      </c>
      <c r="H52" s="6">
        <f t="shared" si="0"/>
        <v>6</v>
      </c>
    </row>
    <row r="53" spans="1:8" ht="12" customHeight="1">
      <c r="A53" s="86"/>
      <c r="B53" s="4" t="s">
        <v>53</v>
      </c>
      <c r="C53" s="5" t="s">
        <v>103</v>
      </c>
      <c r="D53" s="2" t="s">
        <v>164</v>
      </c>
      <c r="E53" s="6">
        <f t="shared" si="0"/>
        <v>6</v>
      </c>
      <c r="F53" s="6">
        <f t="shared" si="0"/>
        <v>6</v>
      </c>
      <c r="G53" s="6">
        <f t="shared" si="0"/>
        <v>6</v>
      </c>
      <c r="H53" s="6">
        <f t="shared" si="0"/>
        <v>6</v>
      </c>
    </row>
    <row r="54" spans="1:8" ht="12" customHeight="1">
      <c r="A54" s="86"/>
      <c r="B54" s="4" t="s">
        <v>54</v>
      </c>
      <c r="C54" s="5" t="s">
        <v>103</v>
      </c>
      <c r="D54" s="2" t="s">
        <v>164</v>
      </c>
      <c r="E54" s="6">
        <f t="shared" si="0"/>
        <v>6</v>
      </c>
      <c r="F54" s="6">
        <f t="shared" si="0"/>
        <v>6</v>
      </c>
      <c r="G54" s="6">
        <f t="shared" si="0"/>
        <v>6</v>
      </c>
      <c r="H54" s="6">
        <f t="shared" si="0"/>
        <v>6</v>
      </c>
    </row>
    <row r="55" spans="1:8" ht="12" customHeight="1">
      <c r="A55" s="86"/>
      <c r="B55" s="4" t="s">
        <v>55</v>
      </c>
      <c r="C55" s="5" t="s">
        <v>103</v>
      </c>
      <c r="D55" s="2" t="s">
        <v>164</v>
      </c>
      <c r="E55" s="6">
        <f t="shared" si="0"/>
        <v>6</v>
      </c>
      <c r="F55" s="6">
        <f t="shared" si="0"/>
        <v>6</v>
      </c>
      <c r="G55" s="6">
        <f t="shared" si="0"/>
        <v>6</v>
      </c>
      <c r="H55" s="6">
        <f t="shared" si="0"/>
        <v>6</v>
      </c>
    </row>
    <row r="56" spans="1:8" ht="12" customHeight="1">
      <c r="A56" s="67" t="s">
        <v>93</v>
      </c>
      <c r="B56" s="4">
        <v>20</v>
      </c>
      <c r="C56" s="5" t="s">
        <v>103</v>
      </c>
      <c r="D56" s="2" t="s">
        <v>98</v>
      </c>
      <c r="E56" s="18">
        <f>IF(E$31="","",E$33+IF(E$21=0,0,20*LOG(E166/((E$31^2+(E144-E166)^2)^0.5))))</f>
        <v>-4.342930049285447E-08</v>
      </c>
      <c r="F56" s="18">
        <f>IF(F$31="","",F$33+IF(F$20=0,0,20*LOG(F100/((F$31^2+(F100-F122)^2)^0.5)))+IF(F$21=0,0,20*LOG(F166/((F$31^2+(F144-F166)^2)^0.5)))+$F$18-$E$18)</f>
        <v>0</v>
      </c>
      <c r="G56" s="18">
        <f>IF(G$31="","",G$33+IF(G$20=0,0,20*LOG(G100/((G$31^2+(G100-G122)^2)^0.5)))+IF(G$21=0,0,20*LOG(G166/((G$31^2+(G144-G166)^2)^0.5)))+$G$18-$E$18)</f>
        <v>-80.00001471674972</v>
      </c>
      <c r="H56" s="18">
        <f>IF(H$31="","",H$33+IF(H$20=0,0,20*LOG(H100/((H$31^2+(H100-H122)^2)^0.5)))+$H$18-$E$18)</f>
        <v>0</v>
      </c>
    </row>
    <row r="57" spans="1:8" ht="12" customHeight="1">
      <c r="A57" s="68"/>
      <c r="B57" s="4">
        <v>30</v>
      </c>
      <c r="C57" s="5" t="s">
        <v>103</v>
      </c>
      <c r="D57" s="2" t="s">
        <v>98</v>
      </c>
      <c r="E57" s="18">
        <f aca="true" t="shared" si="1" ref="E57:E77">IF(E$31="","",E$33+IF(E$21=0,0,20*LOG(E167/((E$31^2+(E145-E167)^2)^0.5))))</f>
        <v>-2.1986083290423593E-07</v>
      </c>
      <c r="F57" s="18">
        <f aca="true" t="shared" si="2" ref="F57:F77">IF(F$31="","",F$33+IF(F$20=0,0,20*LOG(F101/((F$31^2+(F101-F123)^2)^0.5)))+IF(F$21=0,0,20*LOG(F167/((F$31^2+(F145-F167)^2)^0.5)))+$F$18-$E$18)</f>
        <v>0</v>
      </c>
      <c r="G57" s="18">
        <f aca="true" t="shared" si="3" ref="G57:G77">IF(G$31="","",G$33+IF(G$20=0,0,20*LOG(G101/((G$31^2+(G101-G123)^2)^0.5)))+IF(G$21=0,0,20*LOG(G167/((G$31^2+(G145-G167)^2)^0.5)))+$G$18-$E$18)</f>
        <v>-72.956364530954</v>
      </c>
      <c r="H57" s="18">
        <f aca="true" t="shared" si="4" ref="H57:H77">IF(H$31="","",H$33+IF(H$20=0,0,20*LOG(H101/((H$31^2+(H101-H123)^2)^0.5)))+$H$18-$E$18)</f>
        <v>0</v>
      </c>
    </row>
    <row r="58" spans="1:8" ht="12" customHeight="1">
      <c r="A58" s="68"/>
      <c r="B58" s="4">
        <v>40</v>
      </c>
      <c r="C58" s="5" t="s">
        <v>103</v>
      </c>
      <c r="D58" s="2" t="s">
        <v>98</v>
      </c>
      <c r="E58" s="18">
        <f t="shared" si="1"/>
        <v>-6.948687683688916E-07</v>
      </c>
      <c r="F58" s="18">
        <f t="shared" si="2"/>
        <v>0</v>
      </c>
      <c r="G58" s="18">
        <f t="shared" si="3"/>
        <v>-67.95881554162995</v>
      </c>
      <c r="H58" s="18">
        <f t="shared" si="4"/>
        <v>0</v>
      </c>
    </row>
    <row r="59" spans="1:8" ht="12" customHeight="1">
      <c r="A59" s="68"/>
      <c r="B59" s="4">
        <v>50</v>
      </c>
      <c r="C59" s="5" t="s">
        <v>103</v>
      </c>
      <c r="D59" s="2" t="s">
        <v>98</v>
      </c>
      <c r="E59" s="18">
        <f t="shared" si="1"/>
        <v>-1.696456756586626E-06</v>
      </c>
      <c r="F59" s="18">
        <f t="shared" si="2"/>
        <v>0</v>
      </c>
      <c r="G59" s="18">
        <f t="shared" si="3"/>
        <v>-64.08241602289567</v>
      </c>
      <c r="H59" s="18">
        <f t="shared" si="4"/>
        <v>0</v>
      </c>
    </row>
    <row r="60" spans="1:8" ht="12" customHeight="1">
      <c r="A60" s="68"/>
      <c r="B60" s="4">
        <v>70</v>
      </c>
      <c r="C60" s="5" t="s">
        <v>103</v>
      </c>
      <c r="D60" s="2" t="s">
        <v>98</v>
      </c>
      <c r="E60" s="18">
        <f t="shared" si="1"/>
        <v>-6.51710466002526E-06</v>
      </c>
      <c r="F60" s="18">
        <f t="shared" si="2"/>
        <v>0</v>
      </c>
      <c r="G60" s="18">
        <f t="shared" si="3"/>
        <v>-58.23729941641406</v>
      </c>
      <c r="H60" s="18">
        <f t="shared" si="4"/>
        <v>0</v>
      </c>
    </row>
    <row r="61" spans="1:8" ht="12" customHeight="1">
      <c r="A61" s="68"/>
      <c r="B61" s="4">
        <v>100</v>
      </c>
      <c r="C61" s="5" t="s">
        <v>103</v>
      </c>
      <c r="D61" s="2" t="s">
        <v>98</v>
      </c>
      <c r="E61" s="18">
        <f t="shared" si="1"/>
        <v>-2.7143228587992306E-05</v>
      </c>
      <c r="F61" s="18">
        <f t="shared" si="2"/>
        <v>0</v>
      </c>
      <c r="G61" s="18">
        <f t="shared" si="3"/>
        <v>-52.04124164310826</v>
      </c>
      <c r="H61" s="18">
        <f t="shared" si="4"/>
        <v>0</v>
      </c>
    </row>
    <row r="62" spans="1:8" ht="12" customHeight="1">
      <c r="A62" s="68"/>
      <c r="B62" s="4">
        <v>150</v>
      </c>
      <c r="C62" s="5" t="s">
        <v>103</v>
      </c>
      <c r="D62" s="2" t="s">
        <v>98</v>
      </c>
      <c r="E62" s="18">
        <f t="shared" si="1"/>
        <v>-0.00013741085027919425</v>
      </c>
      <c r="F62" s="18">
        <f t="shared" si="2"/>
        <v>0</v>
      </c>
      <c r="G62" s="18">
        <f t="shared" si="3"/>
        <v>-44.997701548502704</v>
      </c>
      <c r="H62" s="18">
        <f t="shared" si="4"/>
        <v>0</v>
      </c>
    </row>
    <row r="63" spans="1:8" ht="12" customHeight="1">
      <c r="A63" s="68"/>
      <c r="B63" s="4">
        <v>200</v>
      </c>
      <c r="C63" s="5" t="s">
        <v>103</v>
      </c>
      <c r="D63" s="2" t="s">
        <v>98</v>
      </c>
      <c r="E63" s="18">
        <f t="shared" si="1"/>
        <v>-0.0004342713014444864</v>
      </c>
      <c r="F63" s="18">
        <f t="shared" si="2"/>
        <v>0</v>
      </c>
      <c r="G63" s="18">
        <f t="shared" si="3"/>
        <v>-40.000448944621866</v>
      </c>
      <c r="H63" s="18">
        <f t="shared" si="4"/>
        <v>0</v>
      </c>
    </row>
    <row r="64" spans="1:8" ht="12" customHeight="1">
      <c r="A64" s="68"/>
      <c r="B64" s="4">
        <v>300</v>
      </c>
      <c r="C64" s="5" t="s">
        <v>103</v>
      </c>
      <c r="D64" s="2" t="s">
        <v>98</v>
      </c>
      <c r="E64" s="18">
        <f t="shared" si="1"/>
        <v>-0.0021980520531661688</v>
      </c>
      <c r="F64" s="18">
        <f t="shared" si="2"/>
        <v>0</v>
      </c>
      <c r="G64" s="18">
        <f t="shared" si="3"/>
        <v>-32.958562363146335</v>
      </c>
      <c r="H64" s="18">
        <f t="shared" si="4"/>
        <v>0</v>
      </c>
    </row>
    <row r="65" spans="1:8" ht="12" customHeight="1">
      <c r="A65" s="68"/>
      <c r="B65" s="4">
        <v>400</v>
      </c>
      <c r="C65" s="5" t="s">
        <v>103</v>
      </c>
      <c r="D65" s="2" t="s">
        <v>98</v>
      </c>
      <c r="E65" s="18">
        <f t="shared" si="1"/>
        <v>-0.006943135223775024</v>
      </c>
      <c r="F65" s="18">
        <f t="shared" si="2"/>
        <v>0</v>
      </c>
      <c r="G65" s="18">
        <f t="shared" si="3"/>
        <v>-27.96575798198495</v>
      </c>
      <c r="H65" s="18">
        <f t="shared" si="4"/>
        <v>0</v>
      </c>
    </row>
    <row r="66" spans="1:8" ht="12" customHeight="1">
      <c r="A66" s="68"/>
      <c r="B66" s="4">
        <v>500</v>
      </c>
      <c r="C66" s="5" t="s">
        <v>103</v>
      </c>
      <c r="D66" s="2" t="s">
        <v>98</v>
      </c>
      <c r="E66" s="18">
        <f t="shared" si="1"/>
        <v>-0.016931523099913838</v>
      </c>
      <c r="F66" s="18">
        <f t="shared" si="2"/>
        <v>0</v>
      </c>
      <c r="G66" s="18">
        <f t="shared" si="3"/>
        <v>-24.099345849538835</v>
      </c>
      <c r="H66" s="18">
        <f t="shared" si="4"/>
        <v>0</v>
      </c>
    </row>
    <row r="67" spans="1:8" ht="12" customHeight="1">
      <c r="A67" s="68"/>
      <c r="B67" s="4">
        <v>700</v>
      </c>
      <c r="C67" s="5" t="s">
        <v>103</v>
      </c>
      <c r="D67" s="2" t="s">
        <v>98</v>
      </c>
      <c r="E67" s="18">
        <f t="shared" si="1"/>
        <v>-0.06468694774528047</v>
      </c>
      <c r="F67" s="18">
        <f t="shared" si="2"/>
        <v>0</v>
      </c>
      <c r="G67" s="18">
        <f t="shared" si="3"/>
        <v>-18.30197984705468</v>
      </c>
      <c r="H67" s="18">
        <f t="shared" si="4"/>
        <v>0</v>
      </c>
    </row>
    <row r="68" spans="1:8" ht="12" customHeight="1">
      <c r="A68" s="68"/>
      <c r="B68" s="4" t="s">
        <v>25</v>
      </c>
      <c r="C68" s="5" t="s">
        <v>103</v>
      </c>
      <c r="D68" s="2" t="s">
        <v>98</v>
      </c>
      <c r="E68" s="18">
        <f t="shared" si="1"/>
        <v>-0.26328852408836895</v>
      </c>
      <c r="F68" s="18">
        <f t="shared" si="2"/>
        <v>0</v>
      </c>
      <c r="G68" s="18">
        <f t="shared" si="3"/>
        <v>-12.304503023968039</v>
      </c>
      <c r="H68" s="18">
        <f t="shared" si="4"/>
        <v>0</v>
      </c>
    </row>
    <row r="69" spans="1:8" ht="12" customHeight="1">
      <c r="A69" s="68"/>
      <c r="B69" s="4" t="s">
        <v>26</v>
      </c>
      <c r="C69" s="5" t="s">
        <v>103</v>
      </c>
      <c r="D69" s="2" t="s">
        <v>98</v>
      </c>
      <c r="E69" s="18">
        <f t="shared" si="1"/>
        <v>-1.193895828777594</v>
      </c>
      <c r="F69" s="18">
        <f t="shared" si="2"/>
        <v>0</v>
      </c>
      <c r="G69" s="18">
        <f t="shared" si="3"/>
        <v>-6.191459966430017</v>
      </c>
      <c r="H69" s="18">
        <f t="shared" si="4"/>
        <v>0</v>
      </c>
    </row>
    <row r="70" spans="1:8" ht="12" customHeight="1">
      <c r="A70" s="68"/>
      <c r="B70" s="4" t="s">
        <v>27</v>
      </c>
      <c r="C70" s="5" t="s">
        <v>103</v>
      </c>
      <c r="D70" s="2" t="s">
        <v>98</v>
      </c>
      <c r="E70" s="18">
        <f t="shared" si="1"/>
        <v>-3.010292619985796</v>
      </c>
      <c r="F70" s="18">
        <f t="shared" si="2"/>
        <v>0</v>
      </c>
      <c r="G70" s="18">
        <f t="shared" si="3"/>
        <v>-3.0103072933062265</v>
      </c>
      <c r="H70" s="18">
        <f t="shared" si="4"/>
        <v>0</v>
      </c>
    </row>
    <row r="71" spans="1:8" ht="12" customHeight="1">
      <c r="A71" s="68"/>
      <c r="B71" s="4" t="s">
        <v>28</v>
      </c>
      <c r="C71" s="5" t="s">
        <v>103</v>
      </c>
      <c r="D71" s="2" t="s">
        <v>98</v>
      </c>
      <c r="E71" s="18">
        <f t="shared" si="1"/>
        <v>-7.826505263127706</v>
      </c>
      <c r="F71" s="18">
        <f t="shared" si="2"/>
        <v>0</v>
      </c>
      <c r="G71" s="18">
        <f t="shared" si="3"/>
        <v>-0.7828695742208822</v>
      </c>
      <c r="H71" s="18">
        <f t="shared" si="4"/>
        <v>0</v>
      </c>
    </row>
    <row r="72" spans="1:8" ht="12" customHeight="1">
      <c r="A72" s="68"/>
      <c r="B72" s="4" t="s">
        <v>29</v>
      </c>
      <c r="C72" s="5" t="s">
        <v>103</v>
      </c>
      <c r="D72" s="2" t="s">
        <v>98</v>
      </c>
      <c r="E72" s="18">
        <f t="shared" si="1"/>
        <v>-12.30447540360018</v>
      </c>
      <c r="F72" s="18">
        <f t="shared" si="2"/>
        <v>0</v>
      </c>
      <c r="G72" s="18">
        <f t="shared" si="3"/>
        <v>-0.263290250361365</v>
      </c>
      <c r="H72" s="18">
        <f t="shared" si="4"/>
        <v>0</v>
      </c>
    </row>
    <row r="73" spans="1:8" ht="12" customHeight="1">
      <c r="A73" s="68"/>
      <c r="B73" s="4" t="s">
        <v>30</v>
      </c>
      <c r="C73" s="5" t="s">
        <v>103</v>
      </c>
      <c r="D73" s="2" t="s">
        <v>98</v>
      </c>
      <c r="E73" s="18">
        <f t="shared" si="1"/>
        <v>-16.027366161569834</v>
      </c>
      <c r="F73" s="18">
        <f t="shared" si="2"/>
        <v>0</v>
      </c>
      <c r="G73" s="18">
        <f t="shared" si="3"/>
        <v>-0.10978048800875229</v>
      </c>
      <c r="H73" s="18">
        <f t="shared" si="4"/>
        <v>0</v>
      </c>
    </row>
    <row r="74" spans="1:8" ht="12" customHeight="1">
      <c r="A74" s="68"/>
      <c r="B74" s="4" t="s">
        <v>31</v>
      </c>
      <c r="C74" s="5" t="s">
        <v>103</v>
      </c>
      <c r="D74" s="2" t="s">
        <v>98</v>
      </c>
      <c r="E74" s="18">
        <f t="shared" si="1"/>
        <v>-21.7915521013311</v>
      </c>
      <c r="F74" s="18">
        <f t="shared" si="2"/>
        <v>0</v>
      </c>
      <c r="G74" s="18">
        <f t="shared" si="3"/>
        <v>-0.02884500064050144</v>
      </c>
      <c r="H74" s="18">
        <f t="shared" si="4"/>
        <v>0</v>
      </c>
    </row>
    <row r="75" spans="1:8" ht="12" customHeight="1">
      <c r="A75" s="68"/>
      <c r="B75" s="4" t="s">
        <v>32</v>
      </c>
      <c r="C75" s="5" t="s">
        <v>103</v>
      </c>
      <c r="D75" s="2" t="s">
        <v>98</v>
      </c>
      <c r="E75" s="18">
        <f t="shared" si="1"/>
        <v>-27.96572868222372</v>
      </c>
      <c r="F75" s="18">
        <f t="shared" si="2"/>
        <v>0</v>
      </c>
      <c r="G75" s="18">
        <f t="shared" si="3"/>
        <v>-0.006943182103398726</v>
      </c>
      <c r="H75" s="18">
        <f t="shared" si="4"/>
        <v>0</v>
      </c>
    </row>
    <row r="76" spans="1:8" ht="12" customHeight="1">
      <c r="A76" s="68"/>
      <c r="B76" s="4" t="s">
        <v>33</v>
      </c>
      <c r="C76" s="5" t="s">
        <v>103</v>
      </c>
      <c r="D76" s="2" t="s">
        <v>98</v>
      </c>
      <c r="E76" s="18">
        <f t="shared" si="1"/>
        <v>-35.00380823515621</v>
      </c>
      <c r="F76" s="18">
        <f t="shared" si="2"/>
        <v>0</v>
      </c>
      <c r="G76" s="18">
        <f t="shared" si="3"/>
        <v>-0.0013723728086318943</v>
      </c>
      <c r="H76" s="18">
        <f t="shared" si="4"/>
        <v>0</v>
      </c>
    </row>
    <row r="77" spans="1:8" ht="12" customHeight="1">
      <c r="A77" s="69"/>
      <c r="B77" s="4" t="s">
        <v>34</v>
      </c>
      <c r="C77" s="5" t="s">
        <v>103</v>
      </c>
      <c r="D77" s="2" t="s">
        <v>98</v>
      </c>
      <c r="E77" s="18">
        <f t="shared" si="1"/>
        <v>-40.00041960091539</v>
      </c>
      <c r="F77" s="18">
        <f t="shared" si="2"/>
        <v>0</v>
      </c>
      <c r="G77" s="18">
        <f t="shared" si="3"/>
        <v>-0.00043427423581476887</v>
      </c>
      <c r="H77" s="18">
        <f t="shared" si="4"/>
        <v>0</v>
      </c>
    </row>
    <row r="78" spans="1:8" ht="12" customHeight="1">
      <c r="A78" s="67" t="s">
        <v>94</v>
      </c>
      <c r="B78" s="4">
        <v>20</v>
      </c>
      <c r="C78" s="5" t="s">
        <v>103</v>
      </c>
      <c r="D78" s="2" t="s">
        <v>97</v>
      </c>
      <c r="E78" s="37">
        <f aca="true" t="shared" si="5" ref="E78:E99">IF(E144="",0,180/PI()*ATAN(E$31/(E144-E166))+IF(E144&gt;E166,-180,0))+IF(E$19=1,180,0)</f>
        <v>-0.8103110079235667</v>
      </c>
      <c r="F78" s="37">
        <f aca="true" t="shared" si="6" ref="F78:F99">IF(F122="",0,180/PI()*ATAN(F$31/(F100-F122))+IF(F100&gt;F122,-180,0))+IF(F144="",0,180/PI()*ATAN(F$31/(F144-F166))+IF(F144&gt;F166,-180,0))+IF(F$19=1,180,0)</f>
        <v>0</v>
      </c>
      <c r="G78" s="37">
        <f aca="true" t="shared" si="7" ref="G78:G99">IF(G122="",0,180/PI()*ATAN(G$31/(G100-G122))+IF(G100&gt;G122,-180,0))+IF(G144="",0,180/PI()*ATAN(G$31/(G144-G166))+IF(G144&gt;G166,-180,0))+IF(G$19=1,-180,0)</f>
        <v>-0.8103110079235667</v>
      </c>
      <c r="H78" s="37">
        <f aca="true" t="shared" si="8" ref="H78:H99">IF(H122="",0,180/PI()*ATAN(H$31/(H100-H122))+IF(H100&gt;H122,-180,0))+IF(H$19=1,-180,0)</f>
        <v>0</v>
      </c>
    </row>
    <row r="79" spans="1:8" ht="12" customHeight="1">
      <c r="A79" s="68"/>
      <c r="B79" s="4">
        <v>30</v>
      </c>
      <c r="C79" s="5" t="s">
        <v>103</v>
      </c>
      <c r="D79" s="2" t="s">
        <v>97</v>
      </c>
      <c r="E79" s="37">
        <f t="shared" si="5"/>
        <v>-1.215517144672699</v>
      </c>
      <c r="F79" s="37">
        <f t="shared" si="6"/>
        <v>0</v>
      </c>
      <c r="G79" s="37">
        <f t="shared" si="7"/>
        <v>-1.215517144672699</v>
      </c>
      <c r="H79" s="37">
        <f t="shared" si="8"/>
        <v>0</v>
      </c>
    </row>
    <row r="80" spans="1:8" ht="12" customHeight="1">
      <c r="A80" s="68"/>
      <c r="B80" s="4">
        <v>40</v>
      </c>
      <c r="C80" s="5" t="s">
        <v>103</v>
      </c>
      <c r="D80" s="2" t="s">
        <v>97</v>
      </c>
      <c r="E80" s="37">
        <f t="shared" si="5"/>
        <v>-1.6207840237419346</v>
      </c>
      <c r="F80" s="37">
        <f t="shared" si="6"/>
        <v>0</v>
      </c>
      <c r="G80" s="37">
        <f t="shared" si="7"/>
        <v>-1.6207840237419346</v>
      </c>
      <c r="H80" s="37">
        <f t="shared" si="8"/>
        <v>0</v>
      </c>
    </row>
    <row r="81" spans="1:8" ht="12" customHeight="1">
      <c r="A81" s="68"/>
      <c r="B81" s="4">
        <v>50</v>
      </c>
      <c r="C81" s="5" t="s">
        <v>103</v>
      </c>
      <c r="D81" s="2" t="s">
        <v>97</v>
      </c>
      <c r="E81" s="37">
        <f t="shared" si="5"/>
        <v>-2.0261318641831254</v>
      </c>
      <c r="F81" s="37">
        <f t="shared" si="6"/>
        <v>0</v>
      </c>
      <c r="G81" s="37">
        <f t="shared" si="7"/>
        <v>-2.0261318641831254</v>
      </c>
      <c r="H81" s="37">
        <f t="shared" si="8"/>
        <v>0</v>
      </c>
    </row>
    <row r="82" spans="1:8" ht="12" customHeight="1">
      <c r="A82" s="68"/>
      <c r="B82" s="4">
        <v>70</v>
      </c>
      <c r="C82" s="5" t="s">
        <v>103</v>
      </c>
      <c r="D82" s="2" t="s">
        <v>97</v>
      </c>
      <c r="E82" s="37">
        <f t="shared" si="5"/>
        <v>-2.837151177464555</v>
      </c>
      <c r="F82" s="37">
        <f t="shared" si="6"/>
        <v>0</v>
      </c>
      <c r="G82" s="37">
        <f t="shared" si="7"/>
        <v>-2.837151177464555</v>
      </c>
      <c r="H82" s="37">
        <f t="shared" si="8"/>
        <v>0</v>
      </c>
    </row>
    <row r="83" spans="1:8" ht="12" customHeight="1">
      <c r="A83" s="68"/>
      <c r="B83" s="4">
        <v>100</v>
      </c>
      <c r="C83" s="5" t="s">
        <v>103</v>
      </c>
      <c r="D83" s="2" t="s">
        <v>97</v>
      </c>
      <c r="E83" s="37">
        <f t="shared" si="5"/>
        <v>-4.054791104962806</v>
      </c>
      <c r="F83" s="37">
        <f t="shared" si="6"/>
        <v>0</v>
      </c>
      <c r="G83" s="37">
        <f t="shared" si="7"/>
        <v>-4.054791104962806</v>
      </c>
      <c r="H83" s="37">
        <f t="shared" si="8"/>
        <v>0</v>
      </c>
    </row>
    <row r="84" spans="1:8" ht="12" customHeight="1">
      <c r="A84" s="68"/>
      <c r="B84" s="4">
        <v>150</v>
      </c>
      <c r="C84" s="5" t="s">
        <v>103</v>
      </c>
      <c r="D84" s="2" t="s">
        <v>97</v>
      </c>
      <c r="E84" s="37">
        <f t="shared" si="5"/>
        <v>-6.088485989883947</v>
      </c>
      <c r="F84" s="37">
        <f t="shared" si="6"/>
        <v>0</v>
      </c>
      <c r="G84" s="37">
        <f t="shared" si="7"/>
        <v>-6.088485989883947</v>
      </c>
      <c r="H84" s="37">
        <f t="shared" si="8"/>
        <v>0</v>
      </c>
    </row>
    <row r="85" spans="1:8" ht="12" customHeight="1">
      <c r="A85" s="68"/>
      <c r="B85" s="4">
        <v>200</v>
      </c>
      <c r="C85" s="5" t="s">
        <v>103</v>
      </c>
      <c r="D85" s="2" t="s">
        <v>97</v>
      </c>
      <c r="E85" s="37">
        <f t="shared" si="5"/>
        <v>-8.129686217555903</v>
      </c>
      <c r="F85" s="37">
        <f t="shared" si="6"/>
        <v>0</v>
      </c>
      <c r="G85" s="37">
        <f t="shared" si="7"/>
        <v>-8.129686217555903</v>
      </c>
      <c r="H85" s="37">
        <f t="shared" si="8"/>
        <v>0</v>
      </c>
    </row>
    <row r="86" spans="1:8" ht="12" customHeight="1">
      <c r="A86" s="68"/>
      <c r="B86" s="4">
        <v>300</v>
      </c>
      <c r="C86" s="5" t="s">
        <v>103</v>
      </c>
      <c r="D86" s="2" t="s">
        <v>97</v>
      </c>
      <c r="E86" s="37">
        <f t="shared" si="5"/>
        <v>-12.244166757855453</v>
      </c>
      <c r="F86" s="37">
        <f t="shared" si="6"/>
        <v>0</v>
      </c>
      <c r="G86" s="37">
        <f t="shared" si="7"/>
        <v>-12.244166757855453</v>
      </c>
      <c r="H86" s="37">
        <f t="shared" si="8"/>
        <v>0</v>
      </c>
    </row>
    <row r="87" spans="1:8" ht="12" customHeight="1">
      <c r="A87" s="68"/>
      <c r="B87" s="4">
        <v>400</v>
      </c>
      <c r="C87" s="5" t="s">
        <v>103</v>
      </c>
      <c r="D87" s="2" t="s">
        <v>97</v>
      </c>
      <c r="E87" s="37">
        <f t="shared" si="5"/>
        <v>-16.416426160428514</v>
      </c>
      <c r="F87" s="37">
        <f t="shared" si="6"/>
        <v>0</v>
      </c>
      <c r="G87" s="37">
        <f t="shared" si="7"/>
        <v>-16.416426160428514</v>
      </c>
      <c r="H87" s="37">
        <f t="shared" si="8"/>
        <v>0</v>
      </c>
    </row>
    <row r="88" spans="1:8" ht="12" customHeight="1">
      <c r="A88" s="68"/>
      <c r="B88" s="4">
        <v>500</v>
      </c>
      <c r="C88" s="5" t="s">
        <v>103</v>
      </c>
      <c r="D88" s="2" t="s">
        <v>97</v>
      </c>
      <c r="E88" s="37">
        <f t="shared" si="5"/>
        <v>-20.662625895663176</v>
      </c>
      <c r="F88" s="37">
        <f t="shared" si="6"/>
        <v>0</v>
      </c>
      <c r="G88" s="37">
        <f t="shared" si="7"/>
        <v>-20.662625895663176</v>
      </c>
      <c r="H88" s="37">
        <f t="shared" si="8"/>
        <v>0</v>
      </c>
    </row>
    <row r="89" spans="1:8" ht="12" customHeight="1">
      <c r="A89" s="68"/>
      <c r="B89" s="4">
        <v>700</v>
      </c>
      <c r="C89" s="5" t="s">
        <v>103</v>
      </c>
      <c r="D89" s="2" t="s">
        <v>97</v>
      </c>
      <c r="E89" s="37">
        <f t="shared" si="5"/>
        <v>-29.426179043354836</v>
      </c>
      <c r="F89" s="37">
        <f t="shared" si="6"/>
        <v>0</v>
      </c>
      <c r="G89" s="37">
        <f t="shared" si="7"/>
        <v>-29.426179043354836</v>
      </c>
      <c r="H89" s="37">
        <f t="shared" si="8"/>
        <v>0</v>
      </c>
    </row>
    <row r="90" spans="1:8" ht="12" customHeight="1">
      <c r="A90" s="68"/>
      <c r="B90" s="4" t="s">
        <v>5</v>
      </c>
      <c r="C90" s="5" t="s">
        <v>103</v>
      </c>
      <c r="D90" s="2" t="s">
        <v>97</v>
      </c>
      <c r="E90" s="37">
        <f t="shared" si="5"/>
        <v>-43.313816398392106</v>
      </c>
      <c r="F90" s="37">
        <f t="shared" si="6"/>
        <v>0</v>
      </c>
      <c r="G90" s="37">
        <f t="shared" si="7"/>
        <v>-43.313816398392106</v>
      </c>
      <c r="H90" s="37">
        <f t="shared" si="8"/>
        <v>0</v>
      </c>
    </row>
    <row r="91" spans="1:8" ht="12" customHeight="1">
      <c r="A91" s="68"/>
      <c r="B91" s="4" t="s">
        <v>6</v>
      </c>
      <c r="C91" s="5" t="s">
        <v>103</v>
      </c>
      <c r="D91" s="2" t="s">
        <v>97</v>
      </c>
      <c r="E91" s="37">
        <f t="shared" si="5"/>
        <v>-67.5848220188241</v>
      </c>
      <c r="F91" s="37">
        <f t="shared" si="6"/>
        <v>0</v>
      </c>
      <c r="G91" s="37">
        <f t="shared" si="7"/>
        <v>-67.5848220188241</v>
      </c>
      <c r="H91" s="37">
        <f t="shared" si="8"/>
        <v>0</v>
      </c>
    </row>
    <row r="92" spans="1:8" ht="12" customHeight="1">
      <c r="A92" s="68"/>
      <c r="B92" s="4" t="s">
        <v>7</v>
      </c>
      <c r="C92" s="5" t="s">
        <v>103</v>
      </c>
      <c r="D92" s="2" t="s">
        <v>97</v>
      </c>
      <c r="E92" s="37">
        <f t="shared" si="5"/>
        <v>-89.99993155815174</v>
      </c>
      <c r="F92" s="37">
        <f t="shared" si="6"/>
        <v>0</v>
      </c>
      <c r="G92" s="37">
        <f t="shared" si="7"/>
        <v>-89.99993155815174</v>
      </c>
      <c r="H92" s="37">
        <f t="shared" si="8"/>
        <v>0</v>
      </c>
    </row>
    <row r="93" spans="1:8" ht="12" customHeight="1">
      <c r="A93" s="68"/>
      <c r="B93" s="4" t="s">
        <v>8</v>
      </c>
      <c r="C93" s="5" t="s">
        <v>103</v>
      </c>
      <c r="D93" s="2" t="s">
        <v>97</v>
      </c>
      <c r="E93" s="37">
        <f t="shared" si="5"/>
        <v>-120.50890383046757</v>
      </c>
      <c r="F93" s="37">
        <f t="shared" si="6"/>
        <v>0</v>
      </c>
      <c r="G93" s="37">
        <f t="shared" si="7"/>
        <v>-120.50890383046757</v>
      </c>
      <c r="H93" s="37">
        <f t="shared" si="8"/>
        <v>0</v>
      </c>
    </row>
    <row r="94" spans="1:8" ht="12" customHeight="1">
      <c r="A94" s="68"/>
      <c r="B94" s="4" t="s">
        <v>9</v>
      </c>
      <c r="C94" s="5" t="s">
        <v>103</v>
      </c>
      <c r="D94" s="2" t="s">
        <v>97</v>
      </c>
      <c r="E94" s="37">
        <f t="shared" si="5"/>
        <v>-136.6861030817864</v>
      </c>
      <c r="F94" s="37">
        <f t="shared" si="6"/>
        <v>0</v>
      </c>
      <c r="G94" s="37">
        <f t="shared" si="7"/>
        <v>-136.6861030817864</v>
      </c>
      <c r="H94" s="37">
        <f t="shared" si="8"/>
        <v>0</v>
      </c>
    </row>
    <row r="95" spans="1:8" ht="12" customHeight="1">
      <c r="A95" s="68"/>
      <c r="B95" s="4" t="s">
        <v>10</v>
      </c>
      <c r="C95" s="5" t="s">
        <v>103</v>
      </c>
      <c r="D95" s="2" t="s">
        <v>97</v>
      </c>
      <c r="E95" s="37">
        <f t="shared" si="5"/>
        <v>-146.04226354701763</v>
      </c>
      <c r="F95" s="37">
        <f t="shared" si="6"/>
        <v>0</v>
      </c>
      <c r="G95" s="37">
        <f t="shared" si="7"/>
        <v>-146.04226354701763</v>
      </c>
      <c r="H95" s="37">
        <f t="shared" si="8"/>
        <v>0</v>
      </c>
    </row>
    <row r="96" spans="1:8" ht="12" customHeight="1">
      <c r="A96" s="68"/>
      <c r="B96" s="4" t="s">
        <v>11</v>
      </c>
      <c r="C96" s="5" t="s">
        <v>103</v>
      </c>
      <c r="D96" s="2" t="s">
        <v>97</v>
      </c>
      <c r="E96" s="37">
        <f t="shared" si="5"/>
        <v>-156.25156202952564</v>
      </c>
      <c r="F96" s="37">
        <f t="shared" si="6"/>
        <v>0</v>
      </c>
      <c r="G96" s="37">
        <f t="shared" si="7"/>
        <v>-156.25156202952564</v>
      </c>
      <c r="H96" s="37">
        <f t="shared" si="8"/>
        <v>0</v>
      </c>
    </row>
    <row r="97" spans="1:8" ht="12" customHeight="1">
      <c r="A97" s="68"/>
      <c r="B97" s="4" t="s">
        <v>12</v>
      </c>
      <c r="C97" s="5" t="s">
        <v>103</v>
      </c>
      <c r="D97" s="2" t="s">
        <v>97</v>
      </c>
      <c r="E97" s="37">
        <f t="shared" si="5"/>
        <v>-163.58354541324474</v>
      </c>
      <c r="F97" s="37">
        <f t="shared" si="6"/>
        <v>0</v>
      </c>
      <c r="G97" s="37">
        <f t="shared" si="7"/>
        <v>-163.58354541324474</v>
      </c>
      <c r="H97" s="37">
        <f t="shared" si="8"/>
        <v>0</v>
      </c>
    </row>
    <row r="98" spans="1:8" ht="12" customHeight="1">
      <c r="A98" s="68"/>
      <c r="B98" s="4" t="s">
        <v>13</v>
      </c>
      <c r="C98" s="5" t="s">
        <v>103</v>
      </c>
      <c r="D98" s="2" t="s">
        <v>97</v>
      </c>
      <c r="E98" s="37">
        <f t="shared" si="5"/>
        <v>-169.13286388444337</v>
      </c>
      <c r="F98" s="37">
        <f t="shared" si="6"/>
        <v>0</v>
      </c>
      <c r="G98" s="37">
        <f t="shared" si="7"/>
        <v>-169.13286388444337</v>
      </c>
      <c r="H98" s="37">
        <f t="shared" si="8"/>
        <v>0</v>
      </c>
    </row>
    <row r="99" spans="1:8" ht="12" customHeight="1">
      <c r="A99" s="69"/>
      <c r="B99" s="4" t="s">
        <v>14</v>
      </c>
      <c r="C99" s="5" t="s">
        <v>103</v>
      </c>
      <c r="D99" s="2" t="s">
        <v>97</v>
      </c>
      <c r="E99" s="37">
        <f t="shared" si="5"/>
        <v>-171.87029995857313</v>
      </c>
      <c r="F99" s="37">
        <f t="shared" si="6"/>
        <v>0</v>
      </c>
      <c r="G99" s="37">
        <f t="shared" si="7"/>
        <v>-171.87029995857313</v>
      </c>
      <c r="H99" s="37">
        <f t="shared" si="8"/>
        <v>0</v>
      </c>
    </row>
    <row r="100" spans="1:8" ht="12" customHeight="1">
      <c r="A100" s="67" t="s">
        <v>165</v>
      </c>
      <c r="B100" s="4">
        <v>20</v>
      </c>
      <c r="C100" s="5" t="s">
        <v>103</v>
      </c>
      <c r="D100" s="2" t="s">
        <v>164</v>
      </c>
      <c r="E100" s="6">
        <f aca="true" t="shared" si="9" ref="E100:H121">IF(E$22="","",2*3.14159*$B100*E$22*0.001)</f>
      </c>
      <c r="F100" s="6">
        <f t="shared" si="9"/>
      </c>
      <c r="G100" s="6">
        <f t="shared" si="9"/>
        <v>0.04242637103514004</v>
      </c>
      <c r="H100" s="6">
        <f t="shared" si="9"/>
      </c>
    </row>
    <row r="101" spans="1:8" ht="12" customHeight="1">
      <c r="A101" s="68"/>
      <c r="B101" s="4">
        <v>30</v>
      </c>
      <c r="C101" s="5" t="s">
        <v>103</v>
      </c>
      <c r="D101" s="2" t="s">
        <v>164</v>
      </c>
      <c r="E101" s="6">
        <f t="shared" si="9"/>
      </c>
      <c r="F101" s="6">
        <f t="shared" si="9"/>
      </c>
      <c r="G101" s="6">
        <f t="shared" si="9"/>
        <v>0.06363955655271006</v>
      </c>
      <c r="H101" s="6">
        <f t="shared" si="9"/>
      </c>
    </row>
    <row r="102" spans="1:8" ht="12" customHeight="1">
      <c r="A102" s="68"/>
      <c r="B102" s="4">
        <v>40</v>
      </c>
      <c r="C102" s="5" t="s">
        <v>103</v>
      </c>
      <c r="D102" s="2" t="s">
        <v>164</v>
      </c>
      <c r="E102" s="6">
        <f t="shared" si="9"/>
      </c>
      <c r="F102" s="6">
        <f t="shared" si="9"/>
      </c>
      <c r="G102" s="6">
        <f t="shared" si="9"/>
        <v>0.08485274207028008</v>
      </c>
      <c r="H102" s="6">
        <f t="shared" si="9"/>
      </c>
    </row>
    <row r="103" spans="1:8" ht="12" customHeight="1">
      <c r="A103" s="68"/>
      <c r="B103" s="4">
        <v>50</v>
      </c>
      <c r="C103" s="5" t="s">
        <v>103</v>
      </c>
      <c r="D103" s="2" t="s">
        <v>164</v>
      </c>
      <c r="E103" s="6">
        <f t="shared" si="9"/>
      </c>
      <c r="F103" s="6">
        <f t="shared" si="9"/>
      </c>
      <c r="G103" s="6">
        <f t="shared" si="9"/>
        <v>0.10606592758785012</v>
      </c>
      <c r="H103" s="6">
        <f t="shared" si="9"/>
      </c>
    </row>
    <row r="104" spans="1:8" ht="12" customHeight="1">
      <c r="A104" s="68"/>
      <c r="B104" s="4">
        <v>70</v>
      </c>
      <c r="C104" s="5" t="s">
        <v>103</v>
      </c>
      <c r="D104" s="2" t="s">
        <v>164</v>
      </c>
      <c r="E104" s="6">
        <f t="shared" si="9"/>
      </c>
      <c r="F104" s="6">
        <f t="shared" si="9"/>
      </c>
      <c r="G104" s="6">
        <f t="shared" si="9"/>
        <v>0.14849229862299015</v>
      </c>
      <c r="H104" s="6">
        <f t="shared" si="9"/>
      </c>
    </row>
    <row r="105" spans="1:8" ht="12" customHeight="1">
      <c r="A105" s="68"/>
      <c r="B105" s="4">
        <v>100</v>
      </c>
      <c r="C105" s="5" t="s">
        <v>103</v>
      </c>
      <c r="D105" s="2" t="s">
        <v>164</v>
      </c>
      <c r="E105" s="6">
        <f t="shared" si="9"/>
      </c>
      <c r="F105" s="6">
        <f t="shared" si="9"/>
      </c>
      <c r="G105" s="6">
        <f t="shared" si="9"/>
        <v>0.21213185517570024</v>
      </c>
      <c r="H105" s="6">
        <f t="shared" si="9"/>
      </c>
    </row>
    <row r="106" spans="1:8" ht="12" customHeight="1">
      <c r="A106" s="68"/>
      <c r="B106" s="4">
        <v>150</v>
      </c>
      <c r="C106" s="5" t="s">
        <v>103</v>
      </c>
      <c r="D106" s="2" t="s">
        <v>164</v>
      </c>
      <c r="E106" s="6">
        <f t="shared" si="9"/>
      </c>
      <c r="F106" s="6">
        <f t="shared" si="9"/>
      </c>
      <c r="G106" s="6">
        <f t="shared" si="9"/>
        <v>0.3181977827635503</v>
      </c>
      <c r="H106" s="6">
        <f t="shared" si="9"/>
      </c>
    </row>
    <row r="107" spans="1:8" ht="12" customHeight="1">
      <c r="A107" s="68"/>
      <c r="B107" s="4">
        <v>200</v>
      </c>
      <c r="C107" s="5" t="s">
        <v>103</v>
      </c>
      <c r="D107" s="2" t="s">
        <v>164</v>
      </c>
      <c r="E107" s="6">
        <f t="shared" si="9"/>
      </c>
      <c r="F107" s="6">
        <f t="shared" si="9"/>
      </c>
      <c r="G107" s="6">
        <f t="shared" si="9"/>
        <v>0.4242637103514005</v>
      </c>
      <c r="H107" s="6">
        <f t="shared" si="9"/>
      </c>
    </row>
    <row r="108" spans="1:8" ht="12" customHeight="1">
      <c r="A108" s="68"/>
      <c r="B108" s="4">
        <v>300</v>
      </c>
      <c r="C108" s="5" t="s">
        <v>103</v>
      </c>
      <c r="D108" s="2" t="s">
        <v>164</v>
      </c>
      <c r="E108" s="6">
        <f t="shared" si="9"/>
      </c>
      <c r="F108" s="6">
        <f t="shared" si="9"/>
      </c>
      <c r="G108" s="6">
        <f t="shared" si="9"/>
        <v>0.6363955655271006</v>
      </c>
      <c r="H108" s="6">
        <f t="shared" si="9"/>
      </c>
    </row>
    <row r="109" spans="1:8" ht="12" customHeight="1">
      <c r="A109" s="68"/>
      <c r="B109" s="4">
        <v>400</v>
      </c>
      <c r="C109" s="5" t="s">
        <v>103</v>
      </c>
      <c r="D109" s="2" t="s">
        <v>164</v>
      </c>
      <c r="E109" s="6">
        <f t="shared" si="9"/>
      </c>
      <c r="F109" s="6">
        <f t="shared" si="9"/>
      </c>
      <c r="G109" s="6">
        <f t="shared" si="9"/>
        <v>0.848527420702801</v>
      </c>
      <c r="H109" s="6">
        <f t="shared" si="9"/>
      </c>
    </row>
    <row r="110" spans="1:8" ht="12" customHeight="1">
      <c r="A110" s="68"/>
      <c r="B110" s="4">
        <v>500</v>
      </c>
      <c r="C110" s="5" t="s">
        <v>103</v>
      </c>
      <c r="D110" s="2" t="s">
        <v>164</v>
      </c>
      <c r="E110" s="6">
        <f t="shared" si="9"/>
      </c>
      <c r="F110" s="6">
        <f t="shared" si="9"/>
      </c>
      <c r="G110" s="6">
        <f t="shared" si="9"/>
        <v>1.060659275878501</v>
      </c>
      <c r="H110" s="6">
        <f t="shared" si="9"/>
      </c>
    </row>
    <row r="111" spans="1:8" ht="12" customHeight="1">
      <c r="A111" s="68"/>
      <c r="B111" s="4">
        <v>700</v>
      </c>
      <c r="C111" s="5" t="s">
        <v>103</v>
      </c>
      <c r="D111" s="2" t="s">
        <v>164</v>
      </c>
      <c r="E111" s="6">
        <f t="shared" si="9"/>
      </c>
      <c r="F111" s="6">
        <f t="shared" si="9"/>
      </c>
      <c r="G111" s="6">
        <f t="shared" si="9"/>
        <v>1.4849229862299014</v>
      </c>
      <c r="H111" s="6">
        <f t="shared" si="9"/>
      </c>
    </row>
    <row r="112" spans="1:8" ht="12" customHeight="1">
      <c r="A112" s="68"/>
      <c r="B112" s="4">
        <v>1000</v>
      </c>
      <c r="C112" s="5" t="s">
        <v>103</v>
      </c>
      <c r="D112" s="2" t="s">
        <v>164</v>
      </c>
      <c r="E112" s="6">
        <f t="shared" si="9"/>
      </c>
      <c r="F112" s="6">
        <f t="shared" si="9"/>
      </c>
      <c r="G112" s="6">
        <f t="shared" si="9"/>
        <v>2.121318551757002</v>
      </c>
      <c r="H112" s="6">
        <f t="shared" si="9"/>
      </c>
    </row>
    <row r="113" spans="1:8" ht="12" customHeight="1">
      <c r="A113" s="68"/>
      <c r="B113" s="4">
        <v>1500</v>
      </c>
      <c r="C113" s="5" t="s">
        <v>103</v>
      </c>
      <c r="D113" s="2" t="s">
        <v>164</v>
      </c>
      <c r="E113" s="6">
        <f t="shared" si="9"/>
      </c>
      <c r="F113" s="6">
        <f t="shared" si="9"/>
      </c>
      <c r="G113" s="6">
        <f t="shared" si="9"/>
        <v>3.181977827635503</v>
      </c>
      <c r="H113" s="6">
        <f t="shared" si="9"/>
      </c>
    </row>
    <row r="114" spans="1:8" ht="12" customHeight="1">
      <c r="A114" s="68"/>
      <c r="B114" s="4">
        <v>2000</v>
      </c>
      <c r="C114" s="5" t="s">
        <v>103</v>
      </c>
      <c r="D114" s="2" t="s">
        <v>164</v>
      </c>
      <c r="E114" s="6">
        <f t="shared" si="9"/>
      </c>
      <c r="F114" s="6">
        <f t="shared" si="9"/>
      </c>
      <c r="G114" s="6">
        <f t="shared" si="9"/>
        <v>4.242637103514004</v>
      </c>
      <c r="H114" s="6">
        <f t="shared" si="9"/>
      </c>
    </row>
    <row r="115" spans="1:8" ht="12" customHeight="1">
      <c r="A115" s="68"/>
      <c r="B115" s="4">
        <v>3000</v>
      </c>
      <c r="C115" s="5" t="s">
        <v>103</v>
      </c>
      <c r="D115" s="2" t="s">
        <v>164</v>
      </c>
      <c r="E115" s="6">
        <f t="shared" si="9"/>
      </c>
      <c r="F115" s="6">
        <f t="shared" si="9"/>
      </c>
      <c r="G115" s="6">
        <f t="shared" si="9"/>
        <v>6.363955655271006</v>
      </c>
      <c r="H115" s="6">
        <f t="shared" si="9"/>
      </c>
    </row>
    <row r="116" spans="1:8" ht="12" customHeight="1">
      <c r="A116" s="68"/>
      <c r="B116" s="4">
        <v>4000</v>
      </c>
      <c r="C116" s="5" t="s">
        <v>103</v>
      </c>
      <c r="D116" s="2" t="s">
        <v>164</v>
      </c>
      <c r="E116" s="6">
        <f t="shared" si="9"/>
      </c>
      <c r="F116" s="6">
        <f t="shared" si="9"/>
      </c>
      <c r="G116" s="6">
        <f t="shared" si="9"/>
        <v>8.485274207028008</v>
      </c>
      <c r="H116" s="6">
        <f t="shared" si="9"/>
      </c>
    </row>
    <row r="117" spans="1:8" ht="12" customHeight="1">
      <c r="A117" s="68"/>
      <c r="B117" s="4">
        <v>5000</v>
      </c>
      <c r="C117" s="5" t="s">
        <v>103</v>
      </c>
      <c r="D117" s="2" t="s">
        <v>164</v>
      </c>
      <c r="E117" s="6">
        <f t="shared" si="9"/>
      </c>
      <c r="F117" s="6">
        <f t="shared" si="9"/>
      </c>
      <c r="G117" s="6">
        <f t="shared" si="9"/>
        <v>10.60659275878501</v>
      </c>
      <c r="H117" s="6">
        <f t="shared" si="9"/>
      </c>
    </row>
    <row r="118" spans="1:8" ht="12" customHeight="1">
      <c r="A118" s="68"/>
      <c r="B118" s="4">
        <v>7000</v>
      </c>
      <c r="C118" s="5" t="s">
        <v>103</v>
      </c>
      <c r="D118" s="2" t="s">
        <v>164</v>
      </c>
      <c r="E118" s="6">
        <f t="shared" si="9"/>
      </c>
      <c r="F118" s="6">
        <f t="shared" si="9"/>
      </c>
      <c r="G118" s="6">
        <f t="shared" si="9"/>
        <v>14.849229862299014</v>
      </c>
      <c r="H118" s="6">
        <f t="shared" si="9"/>
      </c>
    </row>
    <row r="119" spans="1:8" ht="12" customHeight="1">
      <c r="A119" s="68"/>
      <c r="B119" s="4">
        <v>10000</v>
      </c>
      <c r="C119" s="5" t="s">
        <v>103</v>
      </c>
      <c r="D119" s="2" t="s">
        <v>164</v>
      </c>
      <c r="E119" s="6">
        <f t="shared" si="9"/>
      </c>
      <c r="F119" s="6">
        <f t="shared" si="9"/>
      </c>
      <c r="G119" s="6">
        <f t="shared" si="9"/>
        <v>21.21318551757002</v>
      </c>
      <c r="H119" s="6">
        <f t="shared" si="9"/>
      </c>
    </row>
    <row r="120" spans="1:8" ht="12" customHeight="1">
      <c r="A120" s="68"/>
      <c r="B120" s="4">
        <v>15000</v>
      </c>
      <c r="C120" s="5" t="s">
        <v>103</v>
      </c>
      <c r="D120" s="2" t="s">
        <v>164</v>
      </c>
      <c r="E120" s="6">
        <f t="shared" si="9"/>
      </c>
      <c r="F120" s="6">
        <f t="shared" si="9"/>
      </c>
      <c r="G120" s="6">
        <f t="shared" si="9"/>
        <v>31.81977827635503</v>
      </c>
      <c r="H120" s="6">
        <f t="shared" si="9"/>
      </c>
    </row>
    <row r="121" spans="1:8" ht="12" customHeight="1">
      <c r="A121" s="69"/>
      <c r="B121" s="4">
        <v>20000</v>
      </c>
      <c r="C121" s="5" t="s">
        <v>103</v>
      </c>
      <c r="D121" s="2" t="s">
        <v>164</v>
      </c>
      <c r="E121" s="6">
        <f t="shared" si="9"/>
      </c>
      <c r="F121" s="6">
        <f t="shared" si="9"/>
      </c>
      <c r="G121" s="6">
        <f t="shared" si="9"/>
        <v>42.42637103514004</v>
      </c>
      <c r="H121" s="6">
        <f t="shared" si="9"/>
      </c>
    </row>
    <row r="122" spans="1:8" ht="12" customHeight="1">
      <c r="A122" s="67" t="s">
        <v>166</v>
      </c>
      <c r="B122" s="4">
        <v>20</v>
      </c>
      <c r="C122" s="5" t="s">
        <v>103</v>
      </c>
      <c r="D122" s="2" t="s">
        <v>164</v>
      </c>
      <c r="E122" s="6">
        <f aca="true" t="shared" si="10" ref="E122:H143">IF(E$23="","",1/(2*3.14159*$B100*E$23/1000000))</f>
      </c>
      <c r="F122" s="6">
        <f t="shared" si="10"/>
      </c>
      <c r="G122" s="6">
        <f t="shared" si="10"/>
        <v>424.2644270727593</v>
      </c>
      <c r="H122" s="6">
        <f t="shared" si="10"/>
      </c>
    </row>
    <row r="123" spans="1:8" ht="12" customHeight="1">
      <c r="A123" s="68"/>
      <c r="B123" s="4">
        <v>30</v>
      </c>
      <c r="C123" s="5" t="s">
        <v>103</v>
      </c>
      <c r="D123" s="2" t="s">
        <v>164</v>
      </c>
      <c r="E123" s="6">
        <f t="shared" si="10"/>
      </c>
      <c r="F123" s="6">
        <f t="shared" si="10"/>
      </c>
      <c r="G123" s="6">
        <f t="shared" si="10"/>
        <v>282.8429513818395</v>
      </c>
      <c r="H123" s="6">
        <f t="shared" si="10"/>
      </c>
    </row>
    <row r="124" spans="1:8" ht="12" customHeight="1">
      <c r="A124" s="68"/>
      <c r="B124" s="4">
        <v>40</v>
      </c>
      <c r="C124" s="5" t="s">
        <v>103</v>
      </c>
      <c r="D124" s="2" t="s">
        <v>164</v>
      </c>
      <c r="E124" s="6">
        <f t="shared" si="10"/>
      </c>
      <c r="F124" s="6">
        <f t="shared" si="10"/>
      </c>
      <c r="G124" s="6">
        <f t="shared" si="10"/>
        <v>212.13221353637965</v>
      </c>
      <c r="H124" s="6">
        <f t="shared" si="10"/>
      </c>
    </row>
    <row r="125" spans="1:8" ht="12" customHeight="1">
      <c r="A125" s="68"/>
      <c r="B125" s="4">
        <v>50</v>
      </c>
      <c r="C125" s="5" t="s">
        <v>103</v>
      </c>
      <c r="D125" s="2" t="s">
        <v>164</v>
      </c>
      <c r="E125" s="6">
        <f t="shared" si="10"/>
      </c>
      <c r="F125" s="6">
        <f t="shared" si="10"/>
      </c>
      <c r="G125" s="6">
        <f t="shared" si="10"/>
        <v>169.70577082910373</v>
      </c>
      <c r="H125" s="6">
        <f t="shared" si="10"/>
      </c>
    </row>
    <row r="126" spans="1:8" ht="12" customHeight="1">
      <c r="A126" s="68"/>
      <c r="B126" s="4">
        <v>70</v>
      </c>
      <c r="C126" s="5" t="s">
        <v>103</v>
      </c>
      <c r="D126" s="2" t="s">
        <v>164</v>
      </c>
      <c r="E126" s="6">
        <f t="shared" si="10"/>
      </c>
      <c r="F126" s="6">
        <f t="shared" si="10"/>
      </c>
      <c r="G126" s="6">
        <f t="shared" si="10"/>
        <v>121.2184077350741</v>
      </c>
      <c r="H126" s="6">
        <f t="shared" si="10"/>
      </c>
    </row>
    <row r="127" spans="1:8" ht="12" customHeight="1">
      <c r="A127" s="68"/>
      <c r="B127" s="4">
        <v>100</v>
      </c>
      <c r="C127" s="5" t="s">
        <v>103</v>
      </c>
      <c r="D127" s="2" t="s">
        <v>164</v>
      </c>
      <c r="E127" s="6">
        <f t="shared" si="10"/>
      </c>
      <c r="F127" s="6">
        <f t="shared" si="10"/>
      </c>
      <c r="G127" s="6">
        <f t="shared" si="10"/>
        <v>84.85288541455186</v>
      </c>
      <c r="H127" s="6">
        <f t="shared" si="10"/>
      </c>
    </row>
    <row r="128" spans="1:8" ht="12" customHeight="1">
      <c r="A128" s="68"/>
      <c r="B128" s="4">
        <v>150</v>
      </c>
      <c r="C128" s="5" t="s">
        <v>103</v>
      </c>
      <c r="D128" s="2" t="s">
        <v>164</v>
      </c>
      <c r="E128" s="6">
        <f t="shared" si="10"/>
      </c>
      <c r="F128" s="6">
        <f t="shared" si="10"/>
      </c>
      <c r="G128" s="6">
        <f t="shared" si="10"/>
        <v>56.56859027636791</v>
      </c>
      <c r="H128" s="6">
        <f t="shared" si="10"/>
      </c>
    </row>
    <row r="129" spans="1:8" ht="12" customHeight="1">
      <c r="A129" s="68"/>
      <c r="B129" s="4">
        <v>200</v>
      </c>
      <c r="C129" s="5" t="s">
        <v>103</v>
      </c>
      <c r="D129" s="2" t="s">
        <v>164</v>
      </c>
      <c r="E129" s="6">
        <f t="shared" si="10"/>
      </c>
      <c r="F129" s="6">
        <f t="shared" si="10"/>
      </c>
      <c r="G129" s="6">
        <f t="shared" si="10"/>
        <v>42.42644270727593</v>
      </c>
      <c r="H129" s="6">
        <f t="shared" si="10"/>
      </c>
    </row>
    <row r="130" spans="1:8" ht="12" customHeight="1">
      <c r="A130" s="68"/>
      <c r="B130" s="4">
        <v>300</v>
      </c>
      <c r="C130" s="5" t="s">
        <v>103</v>
      </c>
      <c r="D130" s="2" t="s">
        <v>164</v>
      </c>
      <c r="E130" s="6">
        <f t="shared" si="10"/>
      </c>
      <c r="F130" s="6">
        <f t="shared" si="10"/>
      </c>
      <c r="G130" s="6">
        <f t="shared" si="10"/>
        <v>28.284295138183953</v>
      </c>
      <c r="H130" s="6">
        <f t="shared" si="10"/>
      </c>
    </row>
    <row r="131" spans="1:8" ht="12" customHeight="1">
      <c r="A131" s="68"/>
      <c r="B131" s="4">
        <v>400</v>
      </c>
      <c r="C131" s="5" t="s">
        <v>103</v>
      </c>
      <c r="D131" s="2" t="s">
        <v>164</v>
      </c>
      <c r="E131" s="6">
        <f t="shared" si="10"/>
      </c>
      <c r="F131" s="6">
        <f t="shared" si="10"/>
      </c>
      <c r="G131" s="6">
        <f t="shared" si="10"/>
        <v>21.213221353637966</v>
      </c>
      <c r="H131" s="6">
        <f t="shared" si="10"/>
      </c>
    </row>
    <row r="132" spans="1:8" ht="12" customHeight="1">
      <c r="A132" s="68"/>
      <c r="B132" s="4">
        <v>500</v>
      </c>
      <c r="C132" s="5" t="s">
        <v>103</v>
      </c>
      <c r="D132" s="2" t="s">
        <v>164</v>
      </c>
      <c r="E132" s="6">
        <f t="shared" si="10"/>
      </c>
      <c r="F132" s="6">
        <f t="shared" si="10"/>
      </c>
      <c r="G132" s="6">
        <f t="shared" si="10"/>
        <v>16.970577082910374</v>
      </c>
      <c r="H132" s="6">
        <f t="shared" si="10"/>
      </c>
    </row>
    <row r="133" spans="1:8" ht="12" customHeight="1">
      <c r="A133" s="68"/>
      <c r="B133" s="4">
        <v>700</v>
      </c>
      <c r="C133" s="5" t="s">
        <v>103</v>
      </c>
      <c r="D133" s="2" t="s">
        <v>164</v>
      </c>
      <c r="E133" s="6">
        <f t="shared" si="10"/>
      </c>
      <c r="F133" s="6">
        <f t="shared" si="10"/>
      </c>
      <c r="G133" s="6">
        <f t="shared" si="10"/>
        <v>12.12184077350741</v>
      </c>
      <c r="H133" s="6">
        <f t="shared" si="10"/>
      </c>
    </row>
    <row r="134" spans="1:8" ht="12" customHeight="1">
      <c r="A134" s="68"/>
      <c r="B134" s="4" t="s">
        <v>35</v>
      </c>
      <c r="C134" s="5" t="s">
        <v>103</v>
      </c>
      <c r="D134" s="2" t="s">
        <v>164</v>
      </c>
      <c r="E134" s="6">
        <f t="shared" si="10"/>
      </c>
      <c r="F134" s="6">
        <f t="shared" si="10"/>
      </c>
      <c r="G134" s="6">
        <f t="shared" si="10"/>
        <v>8.485288541455187</v>
      </c>
      <c r="H134" s="6">
        <f t="shared" si="10"/>
      </c>
    </row>
    <row r="135" spans="1:8" ht="12" customHeight="1">
      <c r="A135" s="68"/>
      <c r="B135" s="4" t="s">
        <v>36</v>
      </c>
      <c r="C135" s="5" t="s">
        <v>103</v>
      </c>
      <c r="D135" s="2" t="s">
        <v>164</v>
      </c>
      <c r="E135" s="6">
        <f t="shared" si="10"/>
      </c>
      <c r="F135" s="6">
        <f t="shared" si="10"/>
      </c>
      <c r="G135" s="6">
        <f t="shared" si="10"/>
        <v>5.65685902763679</v>
      </c>
      <c r="H135" s="6">
        <f t="shared" si="10"/>
      </c>
    </row>
    <row r="136" spans="1:8" ht="12" customHeight="1">
      <c r="A136" s="68"/>
      <c r="B136" s="4" t="s">
        <v>37</v>
      </c>
      <c r="C136" s="5" t="s">
        <v>103</v>
      </c>
      <c r="D136" s="2" t="s">
        <v>164</v>
      </c>
      <c r="E136" s="6">
        <f t="shared" si="10"/>
      </c>
      <c r="F136" s="6">
        <f t="shared" si="10"/>
      </c>
      <c r="G136" s="6">
        <f t="shared" si="10"/>
        <v>4.2426442707275935</v>
      </c>
      <c r="H136" s="6">
        <f t="shared" si="10"/>
      </c>
    </row>
    <row r="137" spans="1:8" ht="12" customHeight="1">
      <c r="A137" s="68"/>
      <c r="B137" s="4" t="s">
        <v>38</v>
      </c>
      <c r="C137" s="5" t="s">
        <v>103</v>
      </c>
      <c r="D137" s="2" t="s">
        <v>164</v>
      </c>
      <c r="E137" s="6">
        <f t="shared" si="10"/>
      </c>
      <c r="F137" s="6">
        <f t="shared" si="10"/>
      </c>
      <c r="G137" s="6">
        <f t="shared" si="10"/>
        <v>2.828429513818395</v>
      </c>
      <c r="H137" s="6">
        <f t="shared" si="10"/>
      </c>
    </row>
    <row r="138" spans="1:8" ht="12" customHeight="1">
      <c r="A138" s="68"/>
      <c r="B138" s="4" t="s">
        <v>39</v>
      </c>
      <c r="C138" s="5" t="s">
        <v>103</v>
      </c>
      <c r="D138" s="2" t="s">
        <v>164</v>
      </c>
      <c r="E138" s="6">
        <f t="shared" si="10"/>
      </c>
      <c r="F138" s="6">
        <f t="shared" si="10"/>
      </c>
      <c r="G138" s="6">
        <f t="shared" si="10"/>
        <v>2.1213221353637968</v>
      </c>
      <c r="H138" s="6">
        <f t="shared" si="10"/>
      </c>
    </row>
    <row r="139" spans="1:8" ht="12" customHeight="1">
      <c r="A139" s="68"/>
      <c r="B139" s="4" t="s">
        <v>40</v>
      </c>
      <c r="C139" s="5" t="s">
        <v>103</v>
      </c>
      <c r="D139" s="2" t="s">
        <v>164</v>
      </c>
      <c r="E139" s="6">
        <f t="shared" si="10"/>
      </c>
      <c r="F139" s="6">
        <f t="shared" si="10"/>
      </c>
      <c r="G139" s="6">
        <f t="shared" si="10"/>
        <v>1.6970577082910372</v>
      </c>
      <c r="H139" s="6">
        <f t="shared" si="10"/>
      </c>
    </row>
    <row r="140" spans="1:8" ht="12" customHeight="1">
      <c r="A140" s="68"/>
      <c r="B140" s="4" t="s">
        <v>41</v>
      </c>
      <c r="C140" s="5" t="s">
        <v>103</v>
      </c>
      <c r="D140" s="2" t="s">
        <v>164</v>
      </c>
      <c r="E140" s="6">
        <f t="shared" si="10"/>
      </c>
      <c r="F140" s="6">
        <f t="shared" si="10"/>
      </c>
      <c r="G140" s="6">
        <f t="shared" si="10"/>
        <v>1.2121840773507409</v>
      </c>
      <c r="H140" s="6">
        <f t="shared" si="10"/>
      </c>
    </row>
    <row r="141" spans="1:8" ht="12" customHeight="1">
      <c r="A141" s="68"/>
      <c r="B141" s="4" t="s">
        <v>42</v>
      </c>
      <c r="C141" s="5" t="s">
        <v>103</v>
      </c>
      <c r="D141" s="2" t="s">
        <v>164</v>
      </c>
      <c r="E141" s="6">
        <f t="shared" si="10"/>
      </c>
      <c r="F141" s="6">
        <f t="shared" si="10"/>
      </c>
      <c r="G141" s="6">
        <f t="shared" si="10"/>
        <v>0.8485288541455186</v>
      </c>
      <c r="H141" s="6">
        <f t="shared" si="10"/>
      </c>
    </row>
    <row r="142" spans="1:8" ht="12" customHeight="1">
      <c r="A142" s="68"/>
      <c r="B142" s="4" t="s">
        <v>43</v>
      </c>
      <c r="C142" s="5" t="s">
        <v>103</v>
      </c>
      <c r="D142" s="2" t="s">
        <v>164</v>
      </c>
      <c r="E142" s="6">
        <f t="shared" si="10"/>
      </c>
      <c r="F142" s="6">
        <f t="shared" si="10"/>
      </c>
      <c r="G142" s="6">
        <f t="shared" si="10"/>
        <v>0.565685902763679</v>
      </c>
      <c r="H142" s="6">
        <f t="shared" si="10"/>
      </c>
    </row>
    <row r="143" spans="1:8" ht="12" customHeight="1">
      <c r="A143" s="69"/>
      <c r="B143" s="4" t="s">
        <v>44</v>
      </c>
      <c r="C143" s="5" t="s">
        <v>103</v>
      </c>
      <c r="D143" s="2" t="s">
        <v>164</v>
      </c>
      <c r="E143" s="6">
        <f t="shared" si="10"/>
      </c>
      <c r="F143" s="6">
        <f t="shared" si="10"/>
      </c>
      <c r="G143" s="6">
        <f t="shared" si="10"/>
        <v>0.4242644270727593</v>
      </c>
      <c r="H143" s="6">
        <f t="shared" si="10"/>
      </c>
    </row>
    <row r="144" spans="1:8" ht="12" customHeight="1">
      <c r="A144" s="67" t="s">
        <v>167</v>
      </c>
      <c r="B144" s="4">
        <v>20</v>
      </c>
      <c r="C144" s="5" t="s">
        <v>103</v>
      </c>
      <c r="D144" s="2" t="s">
        <v>164</v>
      </c>
      <c r="E144" s="6">
        <f aca="true" t="shared" si="11" ref="E144:H165">IF(E$24="","",2*3.14159*$B100*E$24*0.001)</f>
        <v>0.04242637103514004</v>
      </c>
      <c r="F144" s="6">
        <f t="shared" si="11"/>
      </c>
      <c r="G144" s="6">
        <f t="shared" si="11"/>
      </c>
      <c r="H144" s="6">
        <f t="shared" si="11"/>
      </c>
    </row>
    <row r="145" spans="1:8" ht="12" customHeight="1">
      <c r="A145" s="68"/>
      <c r="B145" s="4">
        <v>30</v>
      </c>
      <c r="C145" s="5" t="s">
        <v>103</v>
      </c>
      <c r="D145" s="2" t="s">
        <v>164</v>
      </c>
      <c r="E145" s="6">
        <f t="shared" si="11"/>
        <v>0.06363955655271006</v>
      </c>
      <c r="F145" s="6">
        <f t="shared" si="11"/>
      </c>
      <c r="G145" s="6">
        <f t="shared" si="11"/>
      </c>
      <c r="H145" s="6">
        <f t="shared" si="11"/>
      </c>
    </row>
    <row r="146" spans="1:8" ht="12" customHeight="1">
      <c r="A146" s="68"/>
      <c r="B146" s="4">
        <v>40</v>
      </c>
      <c r="C146" s="5" t="s">
        <v>103</v>
      </c>
      <c r="D146" s="2" t="s">
        <v>164</v>
      </c>
      <c r="E146" s="6">
        <f t="shared" si="11"/>
        <v>0.08485274207028008</v>
      </c>
      <c r="F146" s="6">
        <f t="shared" si="11"/>
      </c>
      <c r="G146" s="6">
        <f t="shared" si="11"/>
      </c>
      <c r="H146" s="6">
        <f t="shared" si="11"/>
      </c>
    </row>
    <row r="147" spans="1:8" ht="12" customHeight="1">
      <c r="A147" s="68"/>
      <c r="B147" s="4">
        <v>50</v>
      </c>
      <c r="C147" s="5" t="s">
        <v>103</v>
      </c>
      <c r="D147" s="2" t="s">
        <v>164</v>
      </c>
      <c r="E147" s="6">
        <f t="shared" si="11"/>
        <v>0.10606592758785012</v>
      </c>
      <c r="F147" s="6">
        <f t="shared" si="11"/>
      </c>
      <c r="G147" s="6">
        <f t="shared" si="11"/>
      </c>
      <c r="H147" s="6">
        <f t="shared" si="11"/>
      </c>
    </row>
    <row r="148" spans="1:8" ht="12" customHeight="1">
      <c r="A148" s="68"/>
      <c r="B148" s="4">
        <v>70</v>
      </c>
      <c r="C148" s="5" t="s">
        <v>103</v>
      </c>
      <c r="D148" s="2" t="s">
        <v>164</v>
      </c>
      <c r="E148" s="6">
        <f t="shared" si="11"/>
        <v>0.14849229862299015</v>
      </c>
      <c r="F148" s="6">
        <f t="shared" si="11"/>
      </c>
      <c r="G148" s="6">
        <f t="shared" si="11"/>
      </c>
      <c r="H148" s="6">
        <f t="shared" si="11"/>
      </c>
    </row>
    <row r="149" spans="1:8" ht="12" customHeight="1">
      <c r="A149" s="68"/>
      <c r="B149" s="4">
        <v>100</v>
      </c>
      <c r="C149" s="5" t="s">
        <v>103</v>
      </c>
      <c r="D149" s="2" t="s">
        <v>164</v>
      </c>
      <c r="E149" s="6">
        <f t="shared" si="11"/>
        <v>0.21213185517570024</v>
      </c>
      <c r="F149" s="6">
        <f t="shared" si="11"/>
      </c>
      <c r="G149" s="6">
        <f t="shared" si="11"/>
      </c>
      <c r="H149" s="6">
        <f t="shared" si="11"/>
      </c>
    </row>
    <row r="150" spans="1:8" ht="12" customHeight="1">
      <c r="A150" s="68"/>
      <c r="B150" s="4">
        <v>150</v>
      </c>
      <c r="C150" s="5" t="s">
        <v>103</v>
      </c>
      <c r="D150" s="2" t="s">
        <v>164</v>
      </c>
      <c r="E150" s="6">
        <f t="shared" si="11"/>
        <v>0.3181977827635503</v>
      </c>
      <c r="F150" s="6">
        <f t="shared" si="11"/>
      </c>
      <c r="G150" s="6">
        <f t="shared" si="11"/>
      </c>
      <c r="H150" s="6">
        <f t="shared" si="11"/>
      </c>
    </row>
    <row r="151" spans="1:8" ht="12" customHeight="1">
      <c r="A151" s="68"/>
      <c r="B151" s="4">
        <v>200</v>
      </c>
      <c r="C151" s="5" t="s">
        <v>103</v>
      </c>
      <c r="D151" s="2" t="s">
        <v>164</v>
      </c>
      <c r="E151" s="6">
        <f t="shared" si="11"/>
        <v>0.4242637103514005</v>
      </c>
      <c r="F151" s="6">
        <f t="shared" si="11"/>
      </c>
      <c r="G151" s="6">
        <f t="shared" si="11"/>
      </c>
      <c r="H151" s="6">
        <f t="shared" si="11"/>
      </c>
    </row>
    <row r="152" spans="1:8" ht="12" customHeight="1">
      <c r="A152" s="68"/>
      <c r="B152" s="4">
        <v>300</v>
      </c>
      <c r="C152" s="5" t="s">
        <v>103</v>
      </c>
      <c r="D152" s="2" t="s">
        <v>164</v>
      </c>
      <c r="E152" s="6">
        <f t="shared" si="11"/>
        <v>0.6363955655271006</v>
      </c>
      <c r="F152" s="6">
        <f t="shared" si="11"/>
      </c>
      <c r="G152" s="6">
        <f t="shared" si="11"/>
      </c>
      <c r="H152" s="6">
        <f t="shared" si="11"/>
      </c>
    </row>
    <row r="153" spans="1:8" ht="12" customHeight="1">
      <c r="A153" s="68"/>
      <c r="B153" s="4">
        <v>400</v>
      </c>
      <c r="C153" s="5" t="s">
        <v>103</v>
      </c>
      <c r="D153" s="2" t="s">
        <v>164</v>
      </c>
      <c r="E153" s="6">
        <f t="shared" si="11"/>
        <v>0.848527420702801</v>
      </c>
      <c r="F153" s="6">
        <f t="shared" si="11"/>
      </c>
      <c r="G153" s="6">
        <f t="shared" si="11"/>
      </c>
      <c r="H153" s="6">
        <f t="shared" si="11"/>
      </c>
    </row>
    <row r="154" spans="1:8" ht="12" customHeight="1">
      <c r="A154" s="68"/>
      <c r="B154" s="4">
        <v>500</v>
      </c>
      <c r="C154" s="5" t="s">
        <v>103</v>
      </c>
      <c r="D154" s="2" t="s">
        <v>164</v>
      </c>
      <c r="E154" s="6">
        <f t="shared" si="11"/>
        <v>1.060659275878501</v>
      </c>
      <c r="F154" s="6">
        <f t="shared" si="11"/>
      </c>
      <c r="G154" s="6">
        <f t="shared" si="11"/>
      </c>
      <c r="H154" s="6">
        <f t="shared" si="11"/>
      </c>
    </row>
    <row r="155" spans="1:8" ht="12" customHeight="1">
      <c r="A155" s="68"/>
      <c r="B155" s="4">
        <v>700</v>
      </c>
      <c r="C155" s="5" t="s">
        <v>103</v>
      </c>
      <c r="D155" s="2" t="s">
        <v>164</v>
      </c>
      <c r="E155" s="6">
        <f t="shared" si="11"/>
        <v>1.4849229862299014</v>
      </c>
      <c r="F155" s="6">
        <f t="shared" si="11"/>
      </c>
      <c r="G155" s="6">
        <f t="shared" si="11"/>
      </c>
      <c r="H155" s="6">
        <f t="shared" si="11"/>
      </c>
    </row>
    <row r="156" spans="1:8" ht="12" customHeight="1">
      <c r="A156" s="68"/>
      <c r="B156" s="4" t="s">
        <v>35</v>
      </c>
      <c r="C156" s="5" t="s">
        <v>103</v>
      </c>
      <c r="D156" s="2" t="s">
        <v>164</v>
      </c>
      <c r="E156" s="6">
        <f t="shared" si="11"/>
        <v>2.121318551757002</v>
      </c>
      <c r="F156" s="6">
        <f t="shared" si="11"/>
      </c>
      <c r="G156" s="6">
        <f t="shared" si="11"/>
      </c>
      <c r="H156" s="6">
        <f t="shared" si="11"/>
      </c>
    </row>
    <row r="157" spans="1:8" ht="12" customHeight="1">
      <c r="A157" s="68"/>
      <c r="B157" s="4" t="s">
        <v>36</v>
      </c>
      <c r="C157" s="5" t="s">
        <v>103</v>
      </c>
      <c r="D157" s="2" t="s">
        <v>164</v>
      </c>
      <c r="E157" s="6">
        <f t="shared" si="11"/>
        <v>3.181977827635503</v>
      </c>
      <c r="F157" s="6">
        <f t="shared" si="11"/>
      </c>
      <c r="G157" s="6">
        <f t="shared" si="11"/>
      </c>
      <c r="H157" s="6">
        <f t="shared" si="11"/>
      </c>
    </row>
    <row r="158" spans="1:8" ht="12" customHeight="1">
      <c r="A158" s="68"/>
      <c r="B158" s="4" t="s">
        <v>37</v>
      </c>
      <c r="C158" s="5" t="s">
        <v>103</v>
      </c>
      <c r="D158" s="2" t="s">
        <v>164</v>
      </c>
      <c r="E158" s="6">
        <f t="shared" si="11"/>
        <v>4.242637103514004</v>
      </c>
      <c r="F158" s="6">
        <f t="shared" si="11"/>
      </c>
      <c r="G158" s="6">
        <f t="shared" si="11"/>
      </c>
      <c r="H158" s="6">
        <f t="shared" si="11"/>
      </c>
    </row>
    <row r="159" spans="1:8" ht="12" customHeight="1">
      <c r="A159" s="68"/>
      <c r="B159" s="4" t="s">
        <v>38</v>
      </c>
      <c r="C159" s="5" t="s">
        <v>103</v>
      </c>
      <c r="D159" s="2" t="s">
        <v>164</v>
      </c>
      <c r="E159" s="6">
        <f t="shared" si="11"/>
        <v>6.363955655271006</v>
      </c>
      <c r="F159" s="6">
        <f t="shared" si="11"/>
      </c>
      <c r="G159" s="6">
        <f t="shared" si="11"/>
      </c>
      <c r="H159" s="6">
        <f t="shared" si="11"/>
      </c>
    </row>
    <row r="160" spans="1:8" ht="12" customHeight="1">
      <c r="A160" s="68"/>
      <c r="B160" s="4" t="s">
        <v>39</v>
      </c>
      <c r="C160" s="5" t="s">
        <v>103</v>
      </c>
      <c r="D160" s="2" t="s">
        <v>164</v>
      </c>
      <c r="E160" s="6">
        <f t="shared" si="11"/>
        <v>8.485274207028008</v>
      </c>
      <c r="F160" s="6">
        <f t="shared" si="11"/>
      </c>
      <c r="G160" s="6">
        <f t="shared" si="11"/>
      </c>
      <c r="H160" s="6">
        <f t="shared" si="11"/>
      </c>
    </row>
    <row r="161" spans="1:8" ht="12" customHeight="1">
      <c r="A161" s="68"/>
      <c r="B161" s="4" t="s">
        <v>40</v>
      </c>
      <c r="C161" s="5" t="s">
        <v>103</v>
      </c>
      <c r="D161" s="2" t="s">
        <v>164</v>
      </c>
      <c r="E161" s="6">
        <f t="shared" si="11"/>
        <v>10.60659275878501</v>
      </c>
      <c r="F161" s="6">
        <f t="shared" si="11"/>
      </c>
      <c r="G161" s="6">
        <f t="shared" si="11"/>
      </c>
      <c r="H161" s="6">
        <f t="shared" si="11"/>
      </c>
    </row>
    <row r="162" spans="1:8" ht="12" customHeight="1">
      <c r="A162" s="68"/>
      <c r="B162" s="4" t="s">
        <v>41</v>
      </c>
      <c r="C162" s="5" t="s">
        <v>103</v>
      </c>
      <c r="D162" s="2" t="s">
        <v>164</v>
      </c>
      <c r="E162" s="6">
        <f t="shared" si="11"/>
        <v>14.849229862299014</v>
      </c>
      <c r="F162" s="6">
        <f t="shared" si="11"/>
      </c>
      <c r="G162" s="6">
        <f t="shared" si="11"/>
      </c>
      <c r="H162" s="6">
        <f t="shared" si="11"/>
      </c>
    </row>
    <row r="163" spans="1:8" ht="12" customHeight="1">
      <c r="A163" s="68"/>
      <c r="B163" s="4" t="s">
        <v>42</v>
      </c>
      <c r="C163" s="5" t="s">
        <v>103</v>
      </c>
      <c r="D163" s="2" t="s">
        <v>164</v>
      </c>
      <c r="E163" s="6">
        <f t="shared" si="11"/>
        <v>21.21318551757002</v>
      </c>
      <c r="F163" s="6">
        <f t="shared" si="11"/>
      </c>
      <c r="G163" s="6">
        <f t="shared" si="11"/>
      </c>
      <c r="H163" s="6">
        <f t="shared" si="11"/>
      </c>
    </row>
    <row r="164" spans="1:8" ht="12" customHeight="1">
      <c r="A164" s="68"/>
      <c r="B164" s="4" t="s">
        <v>43</v>
      </c>
      <c r="C164" s="5" t="s">
        <v>103</v>
      </c>
      <c r="D164" s="2" t="s">
        <v>164</v>
      </c>
      <c r="E164" s="6">
        <f t="shared" si="11"/>
        <v>31.81977827635503</v>
      </c>
      <c r="F164" s="6">
        <f t="shared" si="11"/>
      </c>
      <c r="G164" s="6">
        <f t="shared" si="11"/>
      </c>
      <c r="H164" s="6">
        <f t="shared" si="11"/>
      </c>
    </row>
    <row r="165" spans="1:8" ht="12" customHeight="1">
      <c r="A165" s="69"/>
      <c r="B165" s="4" t="s">
        <v>44</v>
      </c>
      <c r="C165" s="5" t="s">
        <v>103</v>
      </c>
      <c r="D165" s="2" t="s">
        <v>164</v>
      </c>
      <c r="E165" s="6">
        <f t="shared" si="11"/>
        <v>42.42637103514004</v>
      </c>
      <c r="F165" s="6">
        <f t="shared" si="11"/>
      </c>
      <c r="G165" s="6">
        <f t="shared" si="11"/>
      </c>
      <c r="H165" s="6">
        <f t="shared" si="11"/>
      </c>
    </row>
    <row r="166" spans="1:8" ht="12" customHeight="1">
      <c r="A166" s="67" t="s">
        <v>168</v>
      </c>
      <c r="B166" s="4">
        <v>20</v>
      </c>
      <c r="C166" s="5" t="s">
        <v>103</v>
      </c>
      <c r="D166" s="2" t="s">
        <v>164</v>
      </c>
      <c r="E166" s="6">
        <f aca="true" t="shared" si="12" ref="E166:H187">IF(E$25="","",1/(2*3.14159*$B100*E$25/1000000))</f>
        <v>424.2644270727593</v>
      </c>
      <c r="F166" s="6">
        <f t="shared" si="12"/>
      </c>
      <c r="G166" s="6">
        <f t="shared" si="12"/>
      </c>
      <c r="H166" s="6">
        <f t="shared" si="12"/>
      </c>
    </row>
    <row r="167" spans="1:8" ht="12" customHeight="1">
      <c r="A167" s="68"/>
      <c r="B167" s="4">
        <v>30</v>
      </c>
      <c r="C167" s="5" t="s">
        <v>103</v>
      </c>
      <c r="D167" s="2" t="s">
        <v>164</v>
      </c>
      <c r="E167" s="6">
        <f t="shared" si="12"/>
        <v>282.8429513818395</v>
      </c>
      <c r="F167" s="6">
        <f t="shared" si="12"/>
      </c>
      <c r="G167" s="6">
        <f t="shared" si="12"/>
      </c>
      <c r="H167" s="6">
        <f t="shared" si="12"/>
      </c>
    </row>
    <row r="168" spans="1:8" ht="12" customHeight="1">
      <c r="A168" s="68"/>
      <c r="B168" s="4">
        <v>40</v>
      </c>
      <c r="C168" s="5" t="s">
        <v>103</v>
      </c>
      <c r="D168" s="2" t="s">
        <v>164</v>
      </c>
      <c r="E168" s="6">
        <f t="shared" si="12"/>
        <v>212.13221353637965</v>
      </c>
      <c r="F168" s="6">
        <f t="shared" si="12"/>
      </c>
      <c r="G168" s="6">
        <f t="shared" si="12"/>
      </c>
      <c r="H168" s="6">
        <f t="shared" si="12"/>
      </c>
    </row>
    <row r="169" spans="1:8" ht="12" customHeight="1">
      <c r="A169" s="68"/>
      <c r="B169" s="4">
        <v>50</v>
      </c>
      <c r="C169" s="5" t="s">
        <v>103</v>
      </c>
      <c r="D169" s="2" t="s">
        <v>164</v>
      </c>
      <c r="E169" s="6">
        <f t="shared" si="12"/>
        <v>169.70577082910373</v>
      </c>
      <c r="F169" s="6">
        <f t="shared" si="12"/>
      </c>
      <c r="G169" s="6">
        <f t="shared" si="12"/>
      </c>
      <c r="H169" s="6">
        <f t="shared" si="12"/>
      </c>
    </row>
    <row r="170" spans="1:8" ht="12" customHeight="1">
      <c r="A170" s="68"/>
      <c r="B170" s="4">
        <v>70</v>
      </c>
      <c r="C170" s="5" t="s">
        <v>103</v>
      </c>
      <c r="D170" s="2" t="s">
        <v>164</v>
      </c>
      <c r="E170" s="6">
        <f t="shared" si="12"/>
        <v>121.2184077350741</v>
      </c>
      <c r="F170" s="6">
        <f t="shared" si="12"/>
      </c>
      <c r="G170" s="6">
        <f t="shared" si="12"/>
      </c>
      <c r="H170" s="6">
        <f t="shared" si="12"/>
      </c>
    </row>
    <row r="171" spans="1:8" ht="12" customHeight="1">
      <c r="A171" s="68"/>
      <c r="B171" s="4">
        <v>100</v>
      </c>
      <c r="C171" s="5" t="s">
        <v>103</v>
      </c>
      <c r="D171" s="2" t="s">
        <v>164</v>
      </c>
      <c r="E171" s="6">
        <f t="shared" si="12"/>
        <v>84.85288541455186</v>
      </c>
      <c r="F171" s="6">
        <f t="shared" si="12"/>
      </c>
      <c r="G171" s="6">
        <f t="shared" si="12"/>
      </c>
      <c r="H171" s="6">
        <f t="shared" si="12"/>
      </c>
    </row>
    <row r="172" spans="1:8" ht="12" customHeight="1">
      <c r="A172" s="68"/>
      <c r="B172" s="4">
        <v>150</v>
      </c>
      <c r="C172" s="5" t="s">
        <v>103</v>
      </c>
      <c r="D172" s="2" t="s">
        <v>164</v>
      </c>
      <c r="E172" s="6">
        <f t="shared" si="12"/>
        <v>56.56859027636791</v>
      </c>
      <c r="F172" s="6">
        <f t="shared" si="12"/>
      </c>
      <c r="G172" s="6">
        <f t="shared" si="12"/>
      </c>
      <c r="H172" s="6">
        <f t="shared" si="12"/>
      </c>
    </row>
    <row r="173" spans="1:8" ht="12" customHeight="1">
      <c r="A173" s="68"/>
      <c r="B173" s="4">
        <v>200</v>
      </c>
      <c r="C173" s="5" t="s">
        <v>103</v>
      </c>
      <c r="D173" s="2" t="s">
        <v>164</v>
      </c>
      <c r="E173" s="6">
        <f t="shared" si="12"/>
        <v>42.42644270727593</v>
      </c>
      <c r="F173" s="6">
        <f t="shared" si="12"/>
      </c>
      <c r="G173" s="6">
        <f t="shared" si="12"/>
      </c>
      <c r="H173" s="6">
        <f t="shared" si="12"/>
      </c>
    </row>
    <row r="174" spans="1:8" ht="12" customHeight="1">
      <c r="A174" s="68"/>
      <c r="B174" s="4">
        <v>300</v>
      </c>
      <c r="C174" s="5" t="s">
        <v>103</v>
      </c>
      <c r="D174" s="2" t="s">
        <v>164</v>
      </c>
      <c r="E174" s="6">
        <f t="shared" si="12"/>
        <v>28.284295138183953</v>
      </c>
      <c r="F174" s="6">
        <f t="shared" si="12"/>
      </c>
      <c r="G174" s="6">
        <f t="shared" si="12"/>
      </c>
      <c r="H174" s="6">
        <f t="shared" si="12"/>
      </c>
    </row>
    <row r="175" spans="1:8" ht="12" customHeight="1">
      <c r="A175" s="68"/>
      <c r="B175" s="4">
        <v>400</v>
      </c>
      <c r="C175" s="5" t="s">
        <v>103</v>
      </c>
      <c r="D175" s="2" t="s">
        <v>164</v>
      </c>
      <c r="E175" s="6">
        <f t="shared" si="12"/>
        <v>21.213221353637966</v>
      </c>
      <c r="F175" s="6">
        <f t="shared" si="12"/>
      </c>
      <c r="G175" s="6">
        <f t="shared" si="12"/>
      </c>
      <c r="H175" s="6">
        <f t="shared" si="12"/>
      </c>
    </row>
    <row r="176" spans="1:8" ht="12" customHeight="1">
      <c r="A176" s="68"/>
      <c r="B176" s="4">
        <v>500</v>
      </c>
      <c r="C176" s="5" t="s">
        <v>103</v>
      </c>
      <c r="D176" s="2" t="s">
        <v>164</v>
      </c>
      <c r="E176" s="6">
        <f t="shared" si="12"/>
        <v>16.970577082910374</v>
      </c>
      <c r="F176" s="6">
        <f t="shared" si="12"/>
      </c>
      <c r="G176" s="6">
        <f t="shared" si="12"/>
      </c>
      <c r="H176" s="6">
        <f t="shared" si="12"/>
      </c>
    </row>
    <row r="177" spans="1:8" ht="12" customHeight="1">
      <c r="A177" s="68"/>
      <c r="B177" s="4">
        <v>700</v>
      </c>
      <c r="C177" s="5" t="s">
        <v>103</v>
      </c>
      <c r="D177" s="2" t="s">
        <v>164</v>
      </c>
      <c r="E177" s="6">
        <f t="shared" si="12"/>
        <v>12.12184077350741</v>
      </c>
      <c r="F177" s="6">
        <f t="shared" si="12"/>
      </c>
      <c r="G177" s="6">
        <f t="shared" si="12"/>
      </c>
      <c r="H177" s="6">
        <f t="shared" si="12"/>
      </c>
    </row>
    <row r="178" spans="1:8" ht="12" customHeight="1">
      <c r="A178" s="68"/>
      <c r="B178" s="4" t="s">
        <v>35</v>
      </c>
      <c r="C178" s="5" t="s">
        <v>103</v>
      </c>
      <c r="D178" s="2" t="s">
        <v>164</v>
      </c>
      <c r="E178" s="6">
        <f t="shared" si="12"/>
        <v>8.485288541455187</v>
      </c>
      <c r="F178" s="6">
        <f t="shared" si="12"/>
      </c>
      <c r="G178" s="6">
        <f t="shared" si="12"/>
      </c>
      <c r="H178" s="6">
        <f t="shared" si="12"/>
      </c>
    </row>
    <row r="179" spans="1:8" ht="12" customHeight="1">
      <c r="A179" s="68"/>
      <c r="B179" s="4" t="s">
        <v>36</v>
      </c>
      <c r="C179" s="5" t="s">
        <v>103</v>
      </c>
      <c r="D179" s="2" t="s">
        <v>164</v>
      </c>
      <c r="E179" s="6">
        <f t="shared" si="12"/>
        <v>5.65685902763679</v>
      </c>
      <c r="F179" s="6">
        <f t="shared" si="12"/>
      </c>
      <c r="G179" s="6">
        <f t="shared" si="12"/>
      </c>
      <c r="H179" s="6">
        <f t="shared" si="12"/>
      </c>
    </row>
    <row r="180" spans="1:8" ht="12" customHeight="1">
      <c r="A180" s="68"/>
      <c r="B180" s="4" t="s">
        <v>37</v>
      </c>
      <c r="C180" s="5" t="s">
        <v>103</v>
      </c>
      <c r="D180" s="2" t="s">
        <v>164</v>
      </c>
      <c r="E180" s="6">
        <f t="shared" si="12"/>
        <v>4.2426442707275935</v>
      </c>
      <c r="F180" s="6">
        <f t="shared" si="12"/>
      </c>
      <c r="G180" s="6">
        <f t="shared" si="12"/>
      </c>
      <c r="H180" s="6">
        <f t="shared" si="12"/>
      </c>
    </row>
    <row r="181" spans="1:8" ht="12" customHeight="1">
      <c r="A181" s="68"/>
      <c r="B181" s="4" t="s">
        <v>38</v>
      </c>
      <c r="C181" s="5" t="s">
        <v>103</v>
      </c>
      <c r="D181" s="2" t="s">
        <v>164</v>
      </c>
      <c r="E181" s="6">
        <f t="shared" si="12"/>
        <v>2.828429513818395</v>
      </c>
      <c r="F181" s="6">
        <f t="shared" si="12"/>
      </c>
      <c r="G181" s="6">
        <f t="shared" si="12"/>
      </c>
      <c r="H181" s="6">
        <f t="shared" si="12"/>
      </c>
    </row>
    <row r="182" spans="1:8" ht="12" customHeight="1">
      <c r="A182" s="68"/>
      <c r="B182" s="4" t="s">
        <v>39</v>
      </c>
      <c r="C182" s="5" t="s">
        <v>103</v>
      </c>
      <c r="D182" s="2" t="s">
        <v>164</v>
      </c>
      <c r="E182" s="6">
        <f t="shared" si="12"/>
        <v>2.1213221353637968</v>
      </c>
      <c r="F182" s="6">
        <f t="shared" si="12"/>
      </c>
      <c r="G182" s="6">
        <f t="shared" si="12"/>
      </c>
      <c r="H182" s="6">
        <f t="shared" si="12"/>
      </c>
    </row>
    <row r="183" spans="1:8" ht="12" customHeight="1">
      <c r="A183" s="68"/>
      <c r="B183" s="4" t="s">
        <v>40</v>
      </c>
      <c r="C183" s="5" t="s">
        <v>103</v>
      </c>
      <c r="D183" s="2" t="s">
        <v>164</v>
      </c>
      <c r="E183" s="6">
        <f t="shared" si="12"/>
        <v>1.6970577082910372</v>
      </c>
      <c r="F183" s="6">
        <f t="shared" si="12"/>
      </c>
      <c r="G183" s="6">
        <f t="shared" si="12"/>
      </c>
      <c r="H183" s="6">
        <f t="shared" si="12"/>
      </c>
    </row>
    <row r="184" spans="1:8" ht="12" customHeight="1">
      <c r="A184" s="68"/>
      <c r="B184" s="4" t="s">
        <v>41</v>
      </c>
      <c r="C184" s="5" t="s">
        <v>103</v>
      </c>
      <c r="D184" s="2" t="s">
        <v>164</v>
      </c>
      <c r="E184" s="6">
        <f t="shared" si="12"/>
        <v>1.2121840773507409</v>
      </c>
      <c r="F184" s="6">
        <f t="shared" si="12"/>
      </c>
      <c r="G184" s="6">
        <f t="shared" si="12"/>
      </c>
      <c r="H184" s="6">
        <f t="shared" si="12"/>
      </c>
    </row>
    <row r="185" spans="1:8" ht="12" customHeight="1">
      <c r="A185" s="68"/>
      <c r="B185" s="4" t="s">
        <v>42</v>
      </c>
      <c r="C185" s="5" t="s">
        <v>103</v>
      </c>
      <c r="D185" s="2" t="s">
        <v>164</v>
      </c>
      <c r="E185" s="6">
        <f t="shared" si="12"/>
        <v>0.8485288541455186</v>
      </c>
      <c r="F185" s="6">
        <f t="shared" si="12"/>
      </c>
      <c r="G185" s="6">
        <f t="shared" si="12"/>
      </c>
      <c r="H185" s="6">
        <f t="shared" si="12"/>
      </c>
    </row>
    <row r="186" spans="1:8" ht="12" customHeight="1">
      <c r="A186" s="68"/>
      <c r="B186" s="4" t="s">
        <v>43</v>
      </c>
      <c r="C186" s="5" t="s">
        <v>103</v>
      </c>
      <c r="D186" s="2" t="s">
        <v>164</v>
      </c>
      <c r="E186" s="6">
        <f t="shared" si="12"/>
        <v>0.565685902763679</v>
      </c>
      <c r="F186" s="6">
        <f t="shared" si="12"/>
      </c>
      <c r="G186" s="6">
        <f t="shared" si="12"/>
      </c>
      <c r="H186" s="6">
        <f t="shared" si="12"/>
      </c>
    </row>
    <row r="187" spans="1:8" ht="12" customHeight="1">
      <c r="A187" s="69"/>
      <c r="B187" s="4" t="s">
        <v>44</v>
      </c>
      <c r="C187" s="5" t="s">
        <v>103</v>
      </c>
      <c r="D187" s="2" t="s">
        <v>164</v>
      </c>
      <c r="E187" s="6">
        <f t="shared" si="12"/>
        <v>0.4242644270727593</v>
      </c>
      <c r="F187" s="6">
        <f t="shared" si="12"/>
      </c>
      <c r="G187" s="6">
        <f t="shared" si="12"/>
      </c>
      <c r="H187" s="6">
        <f t="shared" si="12"/>
      </c>
    </row>
  </sheetData>
  <sheetProtection password="BF23" sheet="1" objects="1" scenarios="1"/>
  <mergeCells count="14">
    <mergeCell ref="A166:A187"/>
    <mergeCell ref="A26:A33"/>
    <mergeCell ref="A56:A77"/>
    <mergeCell ref="A34:A55"/>
    <mergeCell ref="A100:A121"/>
    <mergeCell ref="A122:A143"/>
    <mergeCell ref="A78:A99"/>
    <mergeCell ref="A24:A25"/>
    <mergeCell ref="A1:F1"/>
    <mergeCell ref="B16:C16"/>
    <mergeCell ref="A144:A165"/>
    <mergeCell ref="A22:A23"/>
    <mergeCell ref="B19:D19"/>
    <mergeCell ref="B28:D28"/>
  </mergeCells>
  <conditionalFormatting sqref="E19:H19">
    <cfRule type="cellIs" priority="1" dxfId="0" operator="notBetween" stopIfTrue="1">
      <formula>0</formula>
      <formula>1</formula>
    </cfRule>
  </conditionalFormatting>
  <conditionalFormatting sqref="E28:H28">
    <cfRule type="cellIs" priority="2" dxfId="0" operator="notBetween" stopIfTrue="1">
      <formula>0</formula>
      <formula>2</formula>
    </cfRule>
  </conditionalFormatting>
  <printOptions horizontalCentered="1"/>
  <pageMargins left="0.7874015748031497" right="0.3937007874015748" top="0.7874015748031497" bottom="0.3937007874015748" header="0.2755905511811024" footer="0.31496062992125984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80" t="s">
        <v>172</v>
      </c>
      <c r="B1" s="81"/>
      <c r="C1" s="81"/>
      <c r="D1" s="81"/>
      <c r="E1" s="81"/>
      <c r="F1" s="82"/>
      <c r="G1" s="28" t="s">
        <v>123</v>
      </c>
      <c r="H1" s="29" t="s">
        <v>122</v>
      </c>
      <c r="I1" s="50" t="s">
        <v>108</v>
      </c>
    </row>
    <row r="2" spans="1:16" ht="15" customHeight="1">
      <c r="A2" s="21"/>
      <c r="B2" s="22"/>
      <c r="C2" s="22"/>
      <c r="D2" s="22"/>
      <c r="E2" s="22"/>
      <c r="F2" s="22"/>
      <c r="G2" s="22"/>
      <c r="H2" s="23"/>
      <c r="I2" s="51" t="s">
        <v>162</v>
      </c>
      <c r="J2" s="1"/>
      <c r="K2" s="1"/>
      <c r="L2" s="1"/>
      <c r="M2" s="1"/>
      <c r="N2" s="1"/>
      <c r="O2" s="1"/>
      <c r="P2" s="1"/>
    </row>
    <row r="3" spans="1:16" ht="15" customHeight="1">
      <c r="A3" s="24"/>
      <c r="B3" s="25"/>
      <c r="C3" s="25"/>
      <c r="D3" s="25"/>
      <c r="E3" s="25"/>
      <c r="F3" s="25"/>
      <c r="G3" s="25"/>
      <c r="H3" s="26"/>
      <c r="I3" s="1" t="s">
        <v>158</v>
      </c>
      <c r="J3" s="1"/>
      <c r="K3" s="1"/>
      <c r="L3" s="1"/>
      <c r="M3" s="1"/>
      <c r="N3" s="1"/>
      <c r="O3" s="1"/>
      <c r="P3" s="1"/>
    </row>
    <row r="4" spans="1:16" ht="15" customHeight="1">
      <c r="A4" s="24"/>
      <c r="B4" s="25"/>
      <c r="C4" s="25"/>
      <c r="D4" s="25"/>
      <c r="E4" s="25"/>
      <c r="F4" s="25"/>
      <c r="G4" s="25"/>
      <c r="H4" s="26"/>
      <c r="I4" s="1" t="s">
        <v>159</v>
      </c>
      <c r="J4" s="1"/>
      <c r="K4" s="1"/>
      <c r="L4" s="1"/>
      <c r="M4" s="1"/>
      <c r="N4" s="1"/>
      <c r="O4" s="1"/>
      <c r="P4" s="1"/>
    </row>
    <row r="5" spans="1:16" ht="15" customHeight="1">
      <c r="A5" s="24"/>
      <c r="B5" s="25"/>
      <c r="C5" s="25"/>
      <c r="D5" s="25"/>
      <c r="E5" s="25"/>
      <c r="F5" s="25"/>
      <c r="G5" s="25"/>
      <c r="H5" s="26"/>
      <c r="I5" s="1" t="s">
        <v>160</v>
      </c>
      <c r="J5" s="1"/>
      <c r="K5" s="1"/>
      <c r="L5" s="1"/>
      <c r="M5" s="1"/>
      <c r="N5" s="1"/>
      <c r="O5" s="1"/>
      <c r="P5" s="1"/>
    </row>
    <row r="6" spans="1:16" ht="15" customHeight="1">
      <c r="A6" s="24"/>
      <c r="B6" s="25"/>
      <c r="C6" s="25"/>
      <c r="D6" s="25"/>
      <c r="E6" s="25"/>
      <c r="F6" s="25"/>
      <c r="G6" s="25"/>
      <c r="H6" s="26"/>
      <c r="I6" s="1" t="s">
        <v>161</v>
      </c>
      <c r="J6" s="1"/>
      <c r="K6" s="1"/>
      <c r="L6" s="1"/>
      <c r="M6" s="1"/>
      <c r="N6" s="1"/>
      <c r="O6" s="1"/>
      <c r="P6" s="1"/>
    </row>
    <row r="7" spans="1:16" ht="15" customHeight="1">
      <c r="A7" s="24"/>
      <c r="B7" s="25"/>
      <c r="C7" s="25"/>
      <c r="D7" s="25"/>
      <c r="E7" s="25"/>
      <c r="F7" s="25"/>
      <c r="G7" s="25"/>
      <c r="H7" s="26"/>
      <c r="I7" s="104" t="s">
        <v>189</v>
      </c>
      <c r="J7" s="1"/>
      <c r="K7" s="1"/>
      <c r="L7" s="1"/>
      <c r="M7" s="1"/>
      <c r="N7" s="1"/>
      <c r="O7" s="1"/>
      <c r="P7" s="1"/>
    </row>
    <row r="8" spans="1:16" ht="15" customHeight="1">
      <c r="A8" s="24"/>
      <c r="B8" s="25"/>
      <c r="C8" s="25"/>
      <c r="D8" s="25"/>
      <c r="E8" s="25"/>
      <c r="F8" s="25"/>
      <c r="G8" s="25"/>
      <c r="H8" s="26"/>
      <c r="I8" s="103" t="s">
        <v>190</v>
      </c>
      <c r="J8" s="1"/>
      <c r="K8" s="1"/>
      <c r="L8" s="1"/>
      <c r="M8" s="1"/>
      <c r="N8" s="1"/>
      <c r="O8" s="1"/>
      <c r="P8" s="1"/>
    </row>
    <row r="9" spans="1:16" ht="15" customHeight="1">
      <c r="A9" s="24"/>
      <c r="B9" s="25"/>
      <c r="C9" s="25"/>
      <c r="D9" s="25"/>
      <c r="E9" s="25"/>
      <c r="F9" s="25"/>
      <c r="G9" s="25"/>
      <c r="H9" s="26"/>
      <c r="I9" s="103" t="s">
        <v>191</v>
      </c>
      <c r="J9" s="1"/>
      <c r="K9" s="1"/>
      <c r="L9" s="1"/>
      <c r="M9" s="1"/>
      <c r="N9" s="1"/>
      <c r="O9" s="1"/>
      <c r="P9" s="1"/>
    </row>
    <row r="10" spans="1:16" ht="15" customHeight="1">
      <c r="A10" s="24"/>
      <c r="B10" s="25"/>
      <c r="C10" s="25"/>
      <c r="D10" s="25"/>
      <c r="E10" s="25"/>
      <c r="F10" s="25"/>
      <c r="G10" s="25"/>
      <c r="H10" s="26"/>
      <c r="I10" s="103" t="s">
        <v>192</v>
      </c>
      <c r="J10" s="1"/>
      <c r="K10" s="1"/>
      <c r="L10" s="1"/>
      <c r="M10" s="1"/>
      <c r="N10" s="1"/>
      <c r="O10" s="1"/>
      <c r="P10" s="1"/>
    </row>
    <row r="11" spans="1:16" ht="15" customHeight="1">
      <c r="A11" s="24"/>
      <c r="B11" s="25"/>
      <c r="C11" s="25"/>
      <c r="D11" s="25"/>
      <c r="E11" s="25"/>
      <c r="F11" s="25"/>
      <c r="G11" s="25"/>
      <c r="H11" s="26"/>
      <c r="I11" s="103" t="s">
        <v>193</v>
      </c>
      <c r="J11" s="1"/>
      <c r="K11" s="1"/>
      <c r="L11" s="1"/>
      <c r="M11" s="1"/>
      <c r="N11" s="1"/>
      <c r="O11" s="1"/>
      <c r="P11" s="1"/>
    </row>
    <row r="12" spans="1:16" ht="15" customHeight="1">
      <c r="A12" s="24"/>
      <c r="B12" s="25"/>
      <c r="C12" s="25"/>
      <c r="D12" s="25"/>
      <c r="E12" s="25"/>
      <c r="F12" s="25"/>
      <c r="G12" s="25"/>
      <c r="H12" s="26"/>
      <c r="I12" s="103" t="s">
        <v>194</v>
      </c>
      <c r="J12" s="1"/>
      <c r="K12" s="1"/>
      <c r="L12" s="1"/>
      <c r="M12" s="1"/>
      <c r="N12" s="1"/>
      <c r="O12" s="1"/>
      <c r="P12" s="1"/>
    </row>
    <row r="13" spans="1:16" ht="15" customHeight="1">
      <c r="A13" s="24"/>
      <c r="B13" s="25"/>
      <c r="C13" s="25"/>
      <c r="D13" s="25"/>
      <c r="E13" s="25"/>
      <c r="F13" s="25"/>
      <c r="G13" s="25"/>
      <c r="H13" s="26"/>
      <c r="I13" s="102" t="s">
        <v>195</v>
      </c>
      <c r="J13" s="1"/>
      <c r="K13" s="1"/>
      <c r="L13" s="1"/>
      <c r="M13" s="1"/>
      <c r="N13" s="1"/>
      <c r="O13" s="1"/>
      <c r="P13" s="1"/>
    </row>
    <row r="14" spans="1:16" ht="15" customHeight="1">
      <c r="A14" s="24"/>
      <c r="B14" s="25"/>
      <c r="C14" s="25"/>
      <c r="D14" s="25"/>
      <c r="E14" s="25"/>
      <c r="F14" s="25"/>
      <c r="G14" s="25"/>
      <c r="H14" s="26"/>
      <c r="I14" s="103" t="s">
        <v>196</v>
      </c>
      <c r="J14" s="1"/>
      <c r="K14" s="1"/>
      <c r="L14" s="1"/>
      <c r="M14" s="1"/>
      <c r="N14" s="1"/>
      <c r="O14" s="1"/>
      <c r="P14" s="1"/>
    </row>
    <row r="15" spans="1:16" ht="15" customHeight="1">
      <c r="A15" s="24"/>
      <c r="B15" s="25"/>
      <c r="C15" s="25"/>
      <c r="D15" s="25"/>
      <c r="E15" s="25"/>
      <c r="F15" s="25"/>
      <c r="G15" s="25"/>
      <c r="H15" s="26"/>
      <c r="I15" s="1"/>
      <c r="J15" s="1"/>
      <c r="K15" s="1"/>
      <c r="L15" s="1"/>
      <c r="M15" s="1"/>
      <c r="N15" s="1"/>
      <c r="O15" s="1"/>
      <c r="P15" s="1"/>
    </row>
    <row r="16" spans="1:16" ht="12" customHeight="1">
      <c r="A16" s="27" t="s">
        <v>72</v>
      </c>
      <c r="B16" s="70" t="s">
        <v>80</v>
      </c>
      <c r="C16" s="71"/>
      <c r="D16" s="27" t="s">
        <v>88</v>
      </c>
      <c r="E16" s="2" t="s">
        <v>121</v>
      </c>
      <c r="F16" s="2" t="s">
        <v>124</v>
      </c>
      <c r="G16" s="2" t="s">
        <v>128</v>
      </c>
      <c r="H16" s="31" t="s">
        <v>136</v>
      </c>
      <c r="I16" s="1"/>
      <c r="J16" s="1"/>
      <c r="K16" s="1"/>
      <c r="L16" s="1"/>
      <c r="M16" s="1"/>
      <c r="N16" s="1"/>
      <c r="O16" s="1"/>
      <c r="P16" s="1"/>
    </row>
    <row r="17" spans="1:16" ht="12" customHeight="1">
      <c r="A17" s="11" t="s">
        <v>141</v>
      </c>
      <c r="B17" s="13" t="s">
        <v>142</v>
      </c>
      <c r="C17" s="14" t="s">
        <v>149</v>
      </c>
      <c r="D17" s="2" t="s">
        <v>2</v>
      </c>
      <c r="E17" s="16">
        <v>6</v>
      </c>
      <c r="F17" s="16">
        <v>6</v>
      </c>
      <c r="G17" s="16">
        <v>6</v>
      </c>
      <c r="H17" s="16">
        <v>6</v>
      </c>
      <c r="I17" s="1"/>
      <c r="J17" s="1"/>
      <c r="K17" s="1"/>
      <c r="L17" s="1"/>
      <c r="M17" s="1"/>
      <c r="N17" s="1"/>
      <c r="O17" s="1"/>
      <c r="P17" s="1"/>
    </row>
    <row r="18" spans="1:16" ht="12" customHeight="1">
      <c r="A18" s="10" t="s">
        <v>143</v>
      </c>
      <c r="B18" s="13" t="s">
        <v>142</v>
      </c>
      <c r="C18" s="11" t="s">
        <v>150</v>
      </c>
      <c r="D18" s="2" t="s">
        <v>3</v>
      </c>
      <c r="E18" s="39">
        <v>91</v>
      </c>
      <c r="F18" s="39">
        <v>91</v>
      </c>
      <c r="G18" s="39">
        <v>91</v>
      </c>
      <c r="H18" s="39">
        <v>91</v>
      </c>
      <c r="I18" s="1"/>
      <c r="J18" s="1"/>
      <c r="K18" s="1"/>
      <c r="L18" s="1"/>
      <c r="M18" s="1"/>
      <c r="N18" s="1"/>
      <c r="O18" s="1"/>
      <c r="P18" s="1"/>
    </row>
    <row r="19" spans="1:16" ht="12" customHeight="1">
      <c r="A19" s="10" t="s">
        <v>148</v>
      </c>
      <c r="B19" s="83" t="s">
        <v>147</v>
      </c>
      <c r="C19" s="84"/>
      <c r="D19" s="85"/>
      <c r="E19" s="9"/>
      <c r="F19" s="9"/>
      <c r="G19" s="9"/>
      <c r="H19" s="9"/>
      <c r="I19" s="1"/>
      <c r="J19" s="1"/>
      <c r="K19" s="1"/>
      <c r="L19" s="1"/>
      <c r="M19" s="1"/>
      <c r="N19" s="1"/>
      <c r="O19" s="1"/>
      <c r="P19" s="1"/>
    </row>
    <row r="20" spans="1:16" ht="12" customHeight="1">
      <c r="A20" s="11" t="s">
        <v>144</v>
      </c>
      <c r="B20" s="49" t="s">
        <v>146</v>
      </c>
      <c r="C20" s="11" t="s">
        <v>59</v>
      </c>
      <c r="D20" s="2" t="s">
        <v>4</v>
      </c>
      <c r="E20" s="48">
        <f>IF(OR(AND(F20&lt;&gt;0,F21&lt;&gt;0,F20&gt;=F21),AND(G20&lt;&gt;0,G21&lt;&gt;0,G20&gt;=G21)),"周波数不適","")</f>
      </c>
      <c r="F20" s="9"/>
      <c r="G20" s="9">
        <v>2000</v>
      </c>
      <c r="H20" s="9"/>
      <c r="I20" s="1"/>
      <c r="J20" s="1"/>
      <c r="K20" s="1"/>
      <c r="L20" s="1"/>
      <c r="M20" s="1"/>
      <c r="N20" s="1"/>
      <c r="O20" s="1"/>
      <c r="P20" s="1"/>
    </row>
    <row r="21" spans="1:16" ht="12" customHeight="1">
      <c r="A21" s="11" t="s">
        <v>145</v>
      </c>
      <c r="B21" s="49" t="s">
        <v>146</v>
      </c>
      <c r="C21" s="11" t="s">
        <v>60</v>
      </c>
      <c r="D21" s="2" t="s">
        <v>45</v>
      </c>
      <c r="E21" s="9">
        <v>2000</v>
      </c>
      <c r="F21" s="9"/>
      <c r="G21" s="9"/>
      <c r="H21" s="32"/>
      <c r="I21" s="1"/>
      <c r="J21" s="1"/>
      <c r="K21" s="1"/>
      <c r="L21" s="1"/>
      <c r="M21" s="1"/>
      <c r="N21" s="1"/>
      <c r="O21" s="1"/>
      <c r="P21" s="1"/>
    </row>
    <row r="22" spans="1:16" ht="12" customHeight="1">
      <c r="A22" s="78" t="s">
        <v>151</v>
      </c>
      <c r="B22" s="10" t="s">
        <v>78</v>
      </c>
      <c r="C22" s="11" t="s">
        <v>65</v>
      </c>
      <c r="D22" s="2" t="s">
        <v>104</v>
      </c>
      <c r="E22" s="32"/>
      <c r="F22" s="3">
        <f>IF(F$20="","",F$17*10^3/(2^0.5*PI()*F20))</f>
      </c>
      <c r="G22" s="3">
        <f>IF(G$20="","",G$17*10^3/(2^0.5*PI()*G20))</f>
        <v>0.6752372371178296</v>
      </c>
      <c r="H22" s="3">
        <f>IF(H$20="","",H$17*10^3/(2^0.5*PI()*H20))</f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79"/>
      <c r="B23" s="10" t="s">
        <v>79</v>
      </c>
      <c r="C23" s="11" t="s">
        <v>66</v>
      </c>
      <c r="D23" s="52" t="s">
        <v>105</v>
      </c>
      <c r="E23" s="32"/>
      <c r="F23" s="3">
        <f>IF(F$20="","",10^6/(2^1.5*PI()*F20*F$17))</f>
      </c>
      <c r="G23" s="3">
        <f>IF(G$20="","",10^6/(2^1.5*PI()*G20*G$17))</f>
        <v>9.378294959969855</v>
      </c>
      <c r="H23" s="3">
        <f>IF(H$20="","",10^6/(2^1.5*PI()*H20*H$17))</f>
      </c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78" t="s">
        <v>152</v>
      </c>
      <c r="B24" s="10" t="s">
        <v>78</v>
      </c>
      <c r="C24" s="11" t="s">
        <v>67</v>
      </c>
      <c r="D24" s="2" t="s">
        <v>104</v>
      </c>
      <c r="E24" s="3">
        <f>IF(E$21="","",E$17*10^3/(2^0.5*PI()*E21))</f>
        <v>0.6752372371178296</v>
      </c>
      <c r="F24" s="3">
        <f>IF(F$21="","",F$17*10^3/(2^0.5*PI()*F21))</f>
      </c>
      <c r="G24" s="3">
        <f>IF(G$21="","",G$17*10^3/(2^0.5*PI()*G21))</f>
      </c>
      <c r="H24" s="32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79"/>
      <c r="B25" s="10" t="s">
        <v>79</v>
      </c>
      <c r="C25" s="11" t="s">
        <v>68</v>
      </c>
      <c r="D25" s="52" t="s">
        <v>105</v>
      </c>
      <c r="E25" s="3">
        <f>IF(E$21="","",10^6/(2^1.5*PI()*E21*E$17))</f>
        <v>9.378294959969855</v>
      </c>
      <c r="F25" s="3">
        <f>IF(F$21="","",10^6/(2^1.5*PI()*F21*F$17))</f>
      </c>
      <c r="G25" s="3">
        <f>IF(G$21="","",10^6/(2^1.5*PI()*G21*G$17))</f>
      </c>
      <c r="H25" s="32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72" t="s">
        <v>75</v>
      </c>
      <c r="B26" s="10" t="s">
        <v>84</v>
      </c>
      <c r="C26" s="11" t="s">
        <v>153</v>
      </c>
      <c r="D26" s="2" t="s">
        <v>100</v>
      </c>
      <c r="E26" s="16">
        <v>6</v>
      </c>
      <c r="F26" s="16">
        <v>6</v>
      </c>
      <c r="G26" s="16">
        <v>6</v>
      </c>
      <c r="H26" s="16">
        <v>6</v>
      </c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73"/>
      <c r="B27" s="10" t="s">
        <v>81</v>
      </c>
      <c r="C27" s="11" t="s">
        <v>154</v>
      </c>
      <c r="D27" s="2" t="s">
        <v>0</v>
      </c>
      <c r="E27" s="39">
        <v>91</v>
      </c>
      <c r="F27" s="39">
        <v>91</v>
      </c>
      <c r="G27" s="39">
        <v>105</v>
      </c>
      <c r="H27" s="39">
        <v>91</v>
      </c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73"/>
      <c r="B28" s="83" t="s">
        <v>163</v>
      </c>
      <c r="C28" s="84"/>
      <c r="D28" s="85"/>
      <c r="E28" s="9"/>
      <c r="F28" s="9"/>
      <c r="G28" s="9">
        <v>1</v>
      </c>
      <c r="H28" s="9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73"/>
      <c r="B29" s="10" t="s">
        <v>83</v>
      </c>
      <c r="C29" s="11" t="s">
        <v>126</v>
      </c>
      <c r="D29" s="2" t="s">
        <v>107</v>
      </c>
      <c r="E29" s="12">
        <f>IF(E$17*E$18*E$26*E$27=0,"",IF(E$28=0,"",IF(E$18&gt;E$27+10*LOG(E$17/E$26),"Unable",IF(E$26/(10^((E$18-E$27-10*LOG(E$17/E$26))/20))-E$17=0,"Blank",IF(E$28=2,IF(E$17&gt;=E$26,"Blank",E$17*E$26/ABS(E$26-E$17)),E$17*E$26/ABS(E$26/(10^((E$18-E$27-10*LOG(E$17/E$26))/20))-E$17))))))</f>
      </c>
      <c r="F29" s="12">
        <f>IF(F$17*F$18*F$26*F$27=0,"",IF(F$28=0,"",IF(F$18&gt;F$27+10*LOG(F$17/F$26),"Unable",IF(F$26/(10^((F$18-F$27-10*LOG(F$17/F$26))/20))-F$17=0,"Blank",IF(F$28=2,IF(F$17&gt;=F$26,"Blank",F$17*F$26/ABS(F$26-F$17)),F$17*F$26/ABS(F$26/(10^((F$18-F$27-10*LOG(F$17/F$26))/20))-F$17))))))</f>
      </c>
      <c r="G29" s="12">
        <f>IF(G$17*G$18*G$26*G$27=0,"",IF(G$28=0,"",IF(G$18&gt;G$27+10*LOG(G$17/G$26),"Unable",IF(G$26/(10^((G$18-G$27-10*LOG(G$17/G$26))/20))-G$17=0,"Blank",IF(G$28=2,IF(G$17&gt;=G$26,"Blank",G$17*G$26/ABS(G$26-G$17)),G$17*G$26/ABS(G$26/(10^((G$18-G$27-10*LOG(G$17/G$26))/20))-G$17))))))</f>
        <v>1.4955610490772422</v>
      </c>
      <c r="H29" s="12">
        <f>IF(H$17*H$18*H$26*H$27=0,"",IF(H$28=0,"",IF(H$18&gt;H$27+10*LOG(H$17/H$26),"Unable",IF(H$26/(10^((H$18-H$27-10*LOG(H$17/H$26))/20))-H$17=0,"Blank",IF(H$28=2,IF(H$17&gt;=H$26,"Blank",H$17*H$26/ABS(H$26-H$17)),H$17*H$26/ABS(H$26/(10^((H$18-H$27-10*LOG(H$17/H$26))/20))-H$17))))))</f>
      </c>
      <c r="I29" s="1"/>
      <c r="J29" s="1"/>
      <c r="K29" s="1"/>
      <c r="L29" s="1"/>
      <c r="M29" s="1"/>
      <c r="N29" s="1"/>
      <c r="O29" s="1"/>
      <c r="P29" s="1"/>
    </row>
    <row r="30" spans="1:16" ht="12" customHeight="1">
      <c r="A30" s="73"/>
      <c r="B30" s="10" t="s">
        <v>85</v>
      </c>
      <c r="C30" s="11" t="s">
        <v>127</v>
      </c>
      <c r="D30" s="2" t="s">
        <v>107</v>
      </c>
      <c r="E30" s="12">
        <f>IF(E$17*E$18*E$26*E$27=0,"",IF(E$28=0,"",IF(E$27+E$33&lt;E$18,"Unable",IF(E$29="Unable","Unable",IF(E$29="Blank",E$17-E$26,E$17-E$29*E$26/(E$29+E$26))))))</f>
      </c>
      <c r="F30" s="12">
        <f>IF(F$17*F$18*F$26*F$27=0,"",IF(F$28=0,"",IF(F$27+F$33&lt;F$18,"Unable",IF(F$29="Unable","Unable",IF(F$29="Blank",F$17-F$26,F$17-F$29*F$26/(F$29+F$26))))))</f>
      </c>
      <c r="G30" s="12">
        <f>IF(G$17*G$18*G$26*G$27=0,"",IF(G$28=0,"",IF(G$27+G$33&lt;G$18,"Unable",IF(G$29="Unable","Unable",IF(G$29="Blank",G$17-G$26,G$17-G$29*G$26/(G$29+G$26))))))</f>
        <v>4.802842611018672</v>
      </c>
      <c r="H30" s="12">
        <f>IF(H$17*H$18*H$26*H$27=0,"",IF(H$28=0,"",IF(H$27+H$33&lt;H$18,"Unable",IF(H$29="Unable","Unable",IF(H$29="Blank",H$17-H$26,H$17-H$29*H$26/(H$29+H$26))))))</f>
      </c>
      <c r="I30" s="1"/>
      <c r="J30" s="1"/>
      <c r="K30" s="1"/>
      <c r="L30" s="1"/>
      <c r="M30" s="1"/>
      <c r="N30" s="1"/>
      <c r="O30" s="1"/>
      <c r="P30" s="1"/>
    </row>
    <row r="31" spans="1:16" ht="12" customHeight="1">
      <c r="A31" s="73"/>
      <c r="B31" s="10" t="s">
        <v>86</v>
      </c>
      <c r="C31" s="19" t="s">
        <v>57</v>
      </c>
      <c r="D31" s="2" t="s">
        <v>107</v>
      </c>
      <c r="E31" s="20">
        <f>IF(E$17*E$18*E$26*E$27=0,"",IF(OR(E$28=1,E$28=2),E$17,E$26))</f>
        <v>6</v>
      </c>
      <c r="F31" s="20">
        <f>IF(F$17*F$18*F$26*F$27=0,"",IF(OR(F$28=1,F$28=2),F$17,F$26))</f>
        <v>6</v>
      </c>
      <c r="G31" s="20">
        <f>IF(G$17*G$18*G$26*G$27=0,"",IF(OR(G$28=1,G$28=2),G$17,G$26))</f>
        <v>6</v>
      </c>
      <c r="H31" s="20">
        <f>IF(H$17*H$18*H$26*H$27=0,"",IF(OR(H$28=1,H$28=2),H$17,H$26))</f>
        <v>6</v>
      </c>
      <c r="I31" s="1"/>
      <c r="J31" s="1"/>
      <c r="K31" s="1"/>
      <c r="L31" s="1"/>
      <c r="M31" s="1"/>
      <c r="N31" s="1"/>
      <c r="O31" s="1"/>
      <c r="P31" s="1"/>
    </row>
    <row r="32" spans="1:16" ht="12" customHeight="1">
      <c r="A32" s="73"/>
      <c r="B32" s="10" t="s">
        <v>87</v>
      </c>
      <c r="C32" s="11" t="s">
        <v>58</v>
      </c>
      <c r="D32" s="2" t="s">
        <v>89</v>
      </c>
      <c r="E32" s="12">
        <f>IF(E$17*E$18*E$26*E$27=0,"",10^(E$33/20))</f>
        <v>1</v>
      </c>
      <c r="F32" s="12">
        <f>IF(F$17*F$18*F$26*F$27=0,"",10^(F$33/20))</f>
        <v>1</v>
      </c>
      <c r="G32" s="12">
        <f>IF(G$17*G$18*G$26*G$27=0,"",10^(G$33/20))</f>
        <v>1</v>
      </c>
      <c r="H32" s="12">
        <f>IF(H$17*H$18*H$26*H$27=0,"",10^(H$33/20))</f>
        <v>1</v>
      </c>
      <c r="I32" s="1"/>
      <c r="J32" s="1"/>
      <c r="K32" s="1"/>
      <c r="L32" s="1"/>
      <c r="M32" s="1"/>
      <c r="N32" s="1"/>
      <c r="O32" s="1"/>
      <c r="P32" s="1"/>
    </row>
    <row r="33" spans="1:16" ht="12" customHeight="1">
      <c r="A33" s="74"/>
      <c r="B33" s="10" t="s">
        <v>87</v>
      </c>
      <c r="C33" s="11" t="s">
        <v>58</v>
      </c>
      <c r="D33" s="2" t="s">
        <v>98</v>
      </c>
      <c r="E33" s="12">
        <f>IF(E$17*E$18*E$26*E$27=0,"",IF(E$28=1,0,E$27-E$18+10*LOG(E$17/E$26)+IF(E$28=2,IF(E$29="Blank",20*LOG(E$26/E$31),20*LOG(E$26*E$29/((E$26+E$29)*E$31))),0)))</f>
        <v>0</v>
      </c>
      <c r="F33" s="12">
        <f>IF(F$17*F$18*F$26*F$27=0,"",IF(F$28=1,0,F$27-F$18+10*LOG(F$17/F$26)+IF(F$28=2,IF(F$29="Blank",20*LOG(F$26/F$31),20*LOG(F$26*F$29/((F$26+F$29)*F$31))),0)))</f>
        <v>0</v>
      </c>
      <c r="G33" s="12">
        <f>IF(G$17*G$18*G$26*G$27=0,"",IF(G$28=1,0,G$27-G$18+10*LOG(G$17/G$26)+IF(G$28=2,IF(G$29="Blank",20*LOG(G$26/G$31),20*LOG(G$26*G$29/((G$26+G$29)*G$31))),0)))</f>
        <v>0</v>
      </c>
      <c r="H33" s="12">
        <f>IF(H$17*H$18*H$26*H$27=0,"",IF(H$28=1,0,H$27-H$18+10*LOG(H$17/H$26)+IF(H$28=2,IF(H$29="Blank",20*LOG(H$26/H$31),20*LOG(H$26*H$29/((H$26+H$29)*H$31))),0)))</f>
        <v>0</v>
      </c>
      <c r="I33" s="1"/>
      <c r="J33" s="1"/>
      <c r="K33" s="1"/>
      <c r="L33" s="1"/>
      <c r="M33" s="1"/>
      <c r="N33" s="1"/>
      <c r="O33" s="1"/>
      <c r="P33" s="1"/>
    </row>
    <row r="34" spans="1:8" ht="12" customHeight="1">
      <c r="A34" s="77" t="s">
        <v>73</v>
      </c>
      <c r="B34" s="4">
        <v>20</v>
      </c>
      <c r="C34" s="5" t="s">
        <v>103</v>
      </c>
      <c r="D34" s="2" t="s">
        <v>164</v>
      </c>
      <c r="E34" s="6">
        <f aca="true" t="shared" si="0" ref="E34:H55">E$17</f>
        <v>6</v>
      </c>
      <c r="F34" s="6">
        <f t="shared" si="0"/>
        <v>6</v>
      </c>
      <c r="G34" s="6">
        <f t="shared" si="0"/>
        <v>6</v>
      </c>
      <c r="H34" s="6">
        <f t="shared" si="0"/>
        <v>6</v>
      </c>
    </row>
    <row r="35" spans="1:8" ht="12" customHeight="1">
      <c r="A35" s="77"/>
      <c r="B35" s="4">
        <v>30</v>
      </c>
      <c r="C35" s="5" t="s">
        <v>103</v>
      </c>
      <c r="D35" s="2" t="s">
        <v>164</v>
      </c>
      <c r="E35" s="6">
        <f t="shared" si="0"/>
        <v>6</v>
      </c>
      <c r="F35" s="6">
        <f t="shared" si="0"/>
        <v>6</v>
      </c>
      <c r="G35" s="6">
        <f t="shared" si="0"/>
        <v>6</v>
      </c>
      <c r="H35" s="6">
        <f t="shared" si="0"/>
        <v>6</v>
      </c>
    </row>
    <row r="36" spans="1:8" ht="12" customHeight="1">
      <c r="A36" s="77"/>
      <c r="B36" s="4">
        <v>40</v>
      </c>
      <c r="C36" s="5" t="s">
        <v>103</v>
      </c>
      <c r="D36" s="2" t="s">
        <v>164</v>
      </c>
      <c r="E36" s="6">
        <f t="shared" si="0"/>
        <v>6</v>
      </c>
      <c r="F36" s="6">
        <f t="shared" si="0"/>
        <v>6</v>
      </c>
      <c r="G36" s="6">
        <f t="shared" si="0"/>
        <v>6</v>
      </c>
      <c r="H36" s="6">
        <f t="shared" si="0"/>
        <v>6</v>
      </c>
    </row>
    <row r="37" spans="1:8" ht="12" customHeight="1">
      <c r="A37" s="86"/>
      <c r="B37" s="4">
        <v>50</v>
      </c>
      <c r="C37" s="5" t="s">
        <v>103</v>
      </c>
      <c r="D37" s="2" t="s">
        <v>164</v>
      </c>
      <c r="E37" s="6">
        <f t="shared" si="0"/>
        <v>6</v>
      </c>
      <c r="F37" s="6">
        <f t="shared" si="0"/>
        <v>6</v>
      </c>
      <c r="G37" s="6">
        <f t="shared" si="0"/>
        <v>6</v>
      </c>
      <c r="H37" s="6">
        <f t="shared" si="0"/>
        <v>6</v>
      </c>
    </row>
    <row r="38" spans="1:8" ht="12" customHeight="1">
      <c r="A38" s="86"/>
      <c r="B38" s="4">
        <v>70</v>
      </c>
      <c r="C38" s="5" t="s">
        <v>103</v>
      </c>
      <c r="D38" s="2" t="s">
        <v>164</v>
      </c>
      <c r="E38" s="6">
        <f t="shared" si="0"/>
        <v>6</v>
      </c>
      <c r="F38" s="6">
        <f t="shared" si="0"/>
        <v>6</v>
      </c>
      <c r="G38" s="6">
        <f t="shared" si="0"/>
        <v>6</v>
      </c>
      <c r="H38" s="6">
        <f t="shared" si="0"/>
        <v>6</v>
      </c>
    </row>
    <row r="39" spans="1:8" ht="12" customHeight="1">
      <c r="A39" s="86"/>
      <c r="B39" s="4">
        <v>100</v>
      </c>
      <c r="C39" s="5" t="s">
        <v>103</v>
      </c>
      <c r="D39" s="2" t="s">
        <v>164</v>
      </c>
      <c r="E39" s="6">
        <f t="shared" si="0"/>
        <v>6</v>
      </c>
      <c r="F39" s="6">
        <f t="shared" si="0"/>
        <v>6</v>
      </c>
      <c r="G39" s="6">
        <f t="shared" si="0"/>
        <v>6</v>
      </c>
      <c r="H39" s="6">
        <f t="shared" si="0"/>
        <v>6</v>
      </c>
    </row>
    <row r="40" spans="1:8" ht="12" customHeight="1">
      <c r="A40" s="86"/>
      <c r="B40" s="4">
        <v>150</v>
      </c>
      <c r="C40" s="5" t="s">
        <v>103</v>
      </c>
      <c r="D40" s="2" t="s">
        <v>164</v>
      </c>
      <c r="E40" s="6">
        <f t="shared" si="0"/>
        <v>6</v>
      </c>
      <c r="F40" s="6">
        <f t="shared" si="0"/>
        <v>6</v>
      </c>
      <c r="G40" s="6">
        <f t="shared" si="0"/>
        <v>6</v>
      </c>
      <c r="H40" s="6">
        <f t="shared" si="0"/>
        <v>6</v>
      </c>
    </row>
    <row r="41" spans="1:8" ht="12" customHeight="1">
      <c r="A41" s="86"/>
      <c r="B41" s="4">
        <v>200</v>
      </c>
      <c r="C41" s="5" t="s">
        <v>103</v>
      </c>
      <c r="D41" s="2" t="s">
        <v>164</v>
      </c>
      <c r="E41" s="6">
        <f t="shared" si="0"/>
        <v>6</v>
      </c>
      <c r="F41" s="6">
        <f t="shared" si="0"/>
        <v>6</v>
      </c>
      <c r="G41" s="6">
        <f t="shared" si="0"/>
        <v>6</v>
      </c>
      <c r="H41" s="6">
        <f t="shared" si="0"/>
        <v>6</v>
      </c>
    </row>
    <row r="42" spans="1:8" ht="12" customHeight="1">
      <c r="A42" s="86"/>
      <c r="B42" s="4">
        <v>300</v>
      </c>
      <c r="C42" s="5" t="s">
        <v>103</v>
      </c>
      <c r="D42" s="2" t="s">
        <v>164</v>
      </c>
      <c r="E42" s="6">
        <f t="shared" si="0"/>
        <v>6</v>
      </c>
      <c r="F42" s="6">
        <f t="shared" si="0"/>
        <v>6</v>
      </c>
      <c r="G42" s="6">
        <f t="shared" si="0"/>
        <v>6</v>
      </c>
      <c r="H42" s="6">
        <f t="shared" si="0"/>
        <v>6</v>
      </c>
    </row>
    <row r="43" spans="1:8" ht="12" customHeight="1">
      <c r="A43" s="86"/>
      <c r="B43" s="4">
        <v>400</v>
      </c>
      <c r="C43" s="5" t="s">
        <v>103</v>
      </c>
      <c r="D43" s="2" t="s">
        <v>164</v>
      </c>
      <c r="E43" s="6">
        <f t="shared" si="0"/>
        <v>6</v>
      </c>
      <c r="F43" s="6">
        <f t="shared" si="0"/>
        <v>6</v>
      </c>
      <c r="G43" s="6">
        <f t="shared" si="0"/>
        <v>6</v>
      </c>
      <c r="H43" s="6">
        <f t="shared" si="0"/>
        <v>6</v>
      </c>
    </row>
    <row r="44" spans="1:8" ht="12" customHeight="1">
      <c r="A44" s="86"/>
      <c r="B44" s="4">
        <v>500</v>
      </c>
      <c r="C44" s="5" t="s">
        <v>103</v>
      </c>
      <c r="D44" s="2" t="s">
        <v>164</v>
      </c>
      <c r="E44" s="6">
        <f t="shared" si="0"/>
        <v>6</v>
      </c>
      <c r="F44" s="6">
        <f t="shared" si="0"/>
        <v>6</v>
      </c>
      <c r="G44" s="6">
        <f t="shared" si="0"/>
        <v>6</v>
      </c>
      <c r="H44" s="6">
        <f t="shared" si="0"/>
        <v>6</v>
      </c>
    </row>
    <row r="45" spans="1:8" ht="12" customHeight="1">
      <c r="A45" s="86"/>
      <c r="B45" s="4">
        <v>700</v>
      </c>
      <c r="C45" s="5" t="s">
        <v>103</v>
      </c>
      <c r="D45" s="2" t="s">
        <v>164</v>
      </c>
      <c r="E45" s="6">
        <f t="shared" si="0"/>
        <v>6</v>
      </c>
      <c r="F45" s="6">
        <f t="shared" si="0"/>
        <v>6</v>
      </c>
      <c r="G45" s="6">
        <f t="shared" si="0"/>
        <v>6</v>
      </c>
      <c r="H45" s="6">
        <f t="shared" si="0"/>
        <v>6</v>
      </c>
    </row>
    <row r="46" spans="1:8" ht="12" customHeight="1">
      <c r="A46" s="86"/>
      <c r="B46" s="4" t="s">
        <v>46</v>
      </c>
      <c r="C46" s="5" t="s">
        <v>103</v>
      </c>
      <c r="D46" s="2" t="s">
        <v>164</v>
      </c>
      <c r="E46" s="6">
        <f t="shared" si="0"/>
        <v>6</v>
      </c>
      <c r="F46" s="6">
        <f t="shared" si="0"/>
        <v>6</v>
      </c>
      <c r="G46" s="6">
        <f t="shared" si="0"/>
        <v>6</v>
      </c>
      <c r="H46" s="6">
        <f t="shared" si="0"/>
        <v>6</v>
      </c>
    </row>
    <row r="47" spans="1:8" ht="12" customHeight="1">
      <c r="A47" s="86"/>
      <c r="B47" s="4" t="s">
        <v>47</v>
      </c>
      <c r="C47" s="5" t="s">
        <v>103</v>
      </c>
      <c r="D47" s="2" t="s">
        <v>164</v>
      </c>
      <c r="E47" s="6">
        <f t="shared" si="0"/>
        <v>6</v>
      </c>
      <c r="F47" s="6">
        <f t="shared" si="0"/>
        <v>6</v>
      </c>
      <c r="G47" s="6">
        <f t="shared" si="0"/>
        <v>6</v>
      </c>
      <c r="H47" s="6">
        <f t="shared" si="0"/>
        <v>6</v>
      </c>
    </row>
    <row r="48" spans="1:8" ht="12" customHeight="1">
      <c r="A48" s="86"/>
      <c r="B48" s="4" t="s">
        <v>48</v>
      </c>
      <c r="C48" s="5" t="s">
        <v>103</v>
      </c>
      <c r="D48" s="2" t="s">
        <v>164</v>
      </c>
      <c r="E48" s="6">
        <f t="shared" si="0"/>
        <v>6</v>
      </c>
      <c r="F48" s="6">
        <f t="shared" si="0"/>
        <v>6</v>
      </c>
      <c r="G48" s="6">
        <f t="shared" si="0"/>
        <v>6</v>
      </c>
      <c r="H48" s="6">
        <f t="shared" si="0"/>
        <v>6</v>
      </c>
    </row>
    <row r="49" spans="1:8" ht="12" customHeight="1">
      <c r="A49" s="86"/>
      <c r="B49" s="4" t="s">
        <v>49</v>
      </c>
      <c r="C49" s="5" t="s">
        <v>103</v>
      </c>
      <c r="D49" s="2" t="s">
        <v>164</v>
      </c>
      <c r="E49" s="6">
        <f t="shared" si="0"/>
        <v>6</v>
      </c>
      <c r="F49" s="6">
        <f t="shared" si="0"/>
        <v>6</v>
      </c>
      <c r="G49" s="6">
        <f t="shared" si="0"/>
        <v>6</v>
      </c>
      <c r="H49" s="6">
        <f t="shared" si="0"/>
        <v>6</v>
      </c>
    </row>
    <row r="50" spans="1:8" ht="12" customHeight="1">
      <c r="A50" s="86"/>
      <c r="B50" s="4" t="s">
        <v>50</v>
      </c>
      <c r="C50" s="5" t="s">
        <v>103</v>
      </c>
      <c r="D50" s="2" t="s">
        <v>164</v>
      </c>
      <c r="E50" s="6">
        <f t="shared" si="0"/>
        <v>6</v>
      </c>
      <c r="F50" s="6">
        <f t="shared" si="0"/>
        <v>6</v>
      </c>
      <c r="G50" s="6">
        <f t="shared" si="0"/>
        <v>6</v>
      </c>
      <c r="H50" s="6">
        <f t="shared" si="0"/>
        <v>6</v>
      </c>
    </row>
    <row r="51" spans="1:8" ht="12" customHeight="1">
      <c r="A51" s="86"/>
      <c r="B51" s="4" t="s">
        <v>51</v>
      </c>
      <c r="C51" s="5" t="s">
        <v>103</v>
      </c>
      <c r="D51" s="2" t="s">
        <v>164</v>
      </c>
      <c r="E51" s="6">
        <f t="shared" si="0"/>
        <v>6</v>
      </c>
      <c r="F51" s="6">
        <f t="shared" si="0"/>
        <v>6</v>
      </c>
      <c r="G51" s="6">
        <f t="shared" si="0"/>
        <v>6</v>
      </c>
      <c r="H51" s="6">
        <f t="shared" si="0"/>
        <v>6</v>
      </c>
    </row>
    <row r="52" spans="1:8" ht="12" customHeight="1">
      <c r="A52" s="86"/>
      <c r="B52" s="4" t="s">
        <v>52</v>
      </c>
      <c r="C52" s="5" t="s">
        <v>103</v>
      </c>
      <c r="D52" s="2" t="s">
        <v>164</v>
      </c>
      <c r="E52" s="6">
        <f t="shared" si="0"/>
        <v>6</v>
      </c>
      <c r="F52" s="6">
        <f t="shared" si="0"/>
        <v>6</v>
      </c>
      <c r="G52" s="6">
        <f t="shared" si="0"/>
        <v>6</v>
      </c>
      <c r="H52" s="6">
        <f t="shared" si="0"/>
        <v>6</v>
      </c>
    </row>
    <row r="53" spans="1:8" ht="12" customHeight="1">
      <c r="A53" s="86"/>
      <c r="B53" s="4" t="s">
        <v>53</v>
      </c>
      <c r="C53" s="5" t="s">
        <v>103</v>
      </c>
      <c r="D53" s="2" t="s">
        <v>164</v>
      </c>
      <c r="E53" s="6">
        <f t="shared" si="0"/>
        <v>6</v>
      </c>
      <c r="F53" s="6">
        <f t="shared" si="0"/>
        <v>6</v>
      </c>
      <c r="G53" s="6">
        <f t="shared" si="0"/>
        <v>6</v>
      </c>
      <c r="H53" s="6">
        <f t="shared" si="0"/>
        <v>6</v>
      </c>
    </row>
    <row r="54" spans="1:8" ht="12" customHeight="1">
      <c r="A54" s="86"/>
      <c r="B54" s="4" t="s">
        <v>54</v>
      </c>
      <c r="C54" s="5" t="s">
        <v>103</v>
      </c>
      <c r="D54" s="2" t="s">
        <v>164</v>
      </c>
      <c r="E54" s="6">
        <f t="shared" si="0"/>
        <v>6</v>
      </c>
      <c r="F54" s="6">
        <f t="shared" si="0"/>
        <v>6</v>
      </c>
      <c r="G54" s="6">
        <f t="shared" si="0"/>
        <v>6</v>
      </c>
      <c r="H54" s="6">
        <f t="shared" si="0"/>
        <v>6</v>
      </c>
    </row>
    <row r="55" spans="1:8" ht="12" customHeight="1">
      <c r="A55" s="86"/>
      <c r="B55" s="4" t="s">
        <v>55</v>
      </c>
      <c r="C55" s="5" t="s">
        <v>103</v>
      </c>
      <c r="D55" s="2" t="s">
        <v>164</v>
      </c>
      <c r="E55" s="6">
        <f t="shared" si="0"/>
        <v>6</v>
      </c>
      <c r="F55" s="6">
        <f t="shared" si="0"/>
        <v>6</v>
      </c>
      <c r="G55" s="6">
        <f t="shared" si="0"/>
        <v>6</v>
      </c>
      <c r="H55" s="6">
        <f t="shared" si="0"/>
        <v>6</v>
      </c>
    </row>
    <row r="56" spans="1:8" ht="12" customHeight="1">
      <c r="A56" s="67" t="s">
        <v>93</v>
      </c>
      <c r="B56" s="4">
        <v>20</v>
      </c>
      <c r="C56" s="5" t="s">
        <v>103</v>
      </c>
      <c r="D56" s="2" t="s">
        <v>98</v>
      </c>
      <c r="E56" s="18">
        <f>IF(E$31="","",E$33+IF(E$21=0,0,20*LOG(E$31*E166/((E144^2*E166^2+E$31^2*(E144-E166)^2)^0.5))))</f>
        <v>-4.342930049285447E-08</v>
      </c>
      <c r="F56" s="18">
        <f>IF(F$31="","",F$33+IF(F$20=0,0,20*LOG(F$31*F100/((F100^2*F122^2+F$31^2*(F100-F122)^2)^0.5)))+IF(F$21=0,0,20*LOG(F$31*F166/((F144^2*F166^2+F$31^2*(F144-F166)^2)^0.5)))+$F$18-$E$18)</f>
        <v>0</v>
      </c>
      <c r="G56" s="18">
        <f>IF(G$31="","",G$33+IF(G$20=0,0,20*LOG(G$31*G100/((G100^2*G122^2+G$31^2*(G100-G122)^2)^0.5)))+IF(G$21=0,0,20*LOG(G$31*G166/((G144^2*G166^2+G$31^2*(G144-G166)^2)^0.5)))+$G$18-$E$18)</f>
        <v>-80.00001471674972</v>
      </c>
      <c r="H56" s="18">
        <f>IF(H$31="","",H$33+IF(H$20=0,0,20*LOG(H$31*H100/((H100^2*H122^2+H$31^2*(H100-H122)^2)^0.5)))+$H$18-$E$18)</f>
        <v>0</v>
      </c>
    </row>
    <row r="57" spans="1:8" ht="12" customHeight="1">
      <c r="A57" s="68"/>
      <c r="B57" s="4">
        <v>30</v>
      </c>
      <c r="C57" s="5" t="s">
        <v>103</v>
      </c>
      <c r="D57" s="2" t="s">
        <v>98</v>
      </c>
      <c r="E57" s="18">
        <f aca="true" t="shared" si="1" ref="E57:E77">IF(E$31="","",E$33+IF(E$21=0,0,20*LOG(E$31*E167/((E145^2*E167^2+E$31^2*(E145-E167)^2)^0.5))))</f>
        <v>-2.198608338685634E-07</v>
      </c>
      <c r="F57" s="18">
        <f aca="true" t="shared" si="2" ref="F57:F77">IF(F$31="","",F$33+IF(F$20=0,0,20*LOG(F$31*F101/((F101^2*F123^2+F$31^2*(F101-F123)^2)^0.5)))+IF(F$21=0,0,20*LOG(F$31*F167/((F145^2*F167^2+F$31^2*(F145-F167)^2)^0.5)))+$F$18-$E$18)</f>
        <v>0</v>
      </c>
      <c r="G57" s="18">
        <f aca="true" t="shared" si="3" ref="G57:G77">IF(G$31="","",G$33+IF(G$20=0,0,20*LOG(G$31*G101/((G101^2*G123^2+G$31^2*(G101-G123)^2)^0.5)))+IF(G$21=0,0,20*LOG(G$31*G167/((G145^2*G167^2+G$31^2*(G145-G167)^2)^0.5)))+$G$18-$E$18)</f>
        <v>-72.956364530954</v>
      </c>
      <c r="H57" s="18">
        <f aca="true" t="shared" si="4" ref="H57:H77">IF(H$31="","",H$33+IF(H$20=0,0,20*LOG(H$31*H101/((H101^2*H123^2+H$31^2*(H101-H123)^2)^0.5)))+$H$18-$E$18)</f>
        <v>0</v>
      </c>
    </row>
    <row r="58" spans="1:8" ht="12" customHeight="1">
      <c r="A58" s="68"/>
      <c r="B58" s="4">
        <v>40</v>
      </c>
      <c r="C58" s="5" t="s">
        <v>103</v>
      </c>
      <c r="D58" s="2" t="s">
        <v>98</v>
      </c>
      <c r="E58" s="18">
        <f t="shared" si="1"/>
        <v>-6.948687674045641E-07</v>
      </c>
      <c r="F58" s="18">
        <f t="shared" si="2"/>
        <v>0</v>
      </c>
      <c r="G58" s="18">
        <f t="shared" si="3"/>
        <v>-67.95881554162995</v>
      </c>
      <c r="H58" s="18">
        <f t="shared" si="4"/>
        <v>0</v>
      </c>
    </row>
    <row r="59" spans="1:8" ht="12" customHeight="1">
      <c r="A59" s="68"/>
      <c r="B59" s="4">
        <v>50</v>
      </c>
      <c r="C59" s="5" t="s">
        <v>103</v>
      </c>
      <c r="D59" s="2" t="s">
        <v>98</v>
      </c>
      <c r="E59" s="18">
        <f t="shared" si="1"/>
        <v>-1.696456756586626E-06</v>
      </c>
      <c r="F59" s="18">
        <f t="shared" si="2"/>
        <v>0</v>
      </c>
      <c r="G59" s="18">
        <f t="shared" si="3"/>
        <v>-64.08241602289567</v>
      </c>
      <c r="H59" s="18">
        <f t="shared" si="4"/>
        <v>0</v>
      </c>
    </row>
    <row r="60" spans="1:8" ht="12" customHeight="1">
      <c r="A60" s="68"/>
      <c r="B60" s="4">
        <v>70</v>
      </c>
      <c r="C60" s="5" t="s">
        <v>103</v>
      </c>
      <c r="D60" s="2" t="s">
        <v>98</v>
      </c>
      <c r="E60" s="18">
        <f t="shared" si="1"/>
        <v>-6.517104660989587E-06</v>
      </c>
      <c r="F60" s="18">
        <f t="shared" si="2"/>
        <v>0</v>
      </c>
      <c r="G60" s="18">
        <f t="shared" si="3"/>
        <v>-58.23729941641406</v>
      </c>
      <c r="H60" s="18">
        <f t="shared" si="4"/>
        <v>0</v>
      </c>
    </row>
    <row r="61" spans="1:8" ht="12" customHeight="1">
      <c r="A61" s="68"/>
      <c r="B61" s="4">
        <v>100</v>
      </c>
      <c r="C61" s="5" t="s">
        <v>103</v>
      </c>
      <c r="D61" s="2" t="s">
        <v>98</v>
      </c>
      <c r="E61" s="18">
        <f t="shared" si="1"/>
        <v>-2.7143228587992306E-05</v>
      </c>
      <c r="F61" s="18">
        <f t="shared" si="2"/>
        <v>0</v>
      </c>
      <c r="G61" s="18">
        <f t="shared" si="3"/>
        <v>-52.04124164310826</v>
      </c>
      <c r="H61" s="18">
        <f t="shared" si="4"/>
        <v>0</v>
      </c>
    </row>
    <row r="62" spans="1:8" ht="12" customHeight="1">
      <c r="A62" s="68"/>
      <c r="B62" s="4">
        <v>150</v>
      </c>
      <c r="C62" s="5" t="s">
        <v>103</v>
      </c>
      <c r="D62" s="2" t="s">
        <v>98</v>
      </c>
      <c r="E62" s="18">
        <f t="shared" si="1"/>
        <v>-0.0001374108502782299</v>
      </c>
      <c r="F62" s="18">
        <f t="shared" si="2"/>
        <v>0</v>
      </c>
      <c r="G62" s="18">
        <f t="shared" si="3"/>
        <v>-44.997701548502704</v>
      </c>
      <c r="H62" s="18">
        <f t="shared" si="4"/>
        <v>0</v>
      </c>
    </row>
    <row r="63" spans="1:8" ht="12" customHeight="1">
      <c r="A63" s="68"/>
      <c r="B63" s="4">
        <v>200</v>
      </c>
      <c r="C63" s="5" t="s">
        <v>103</v>
      </c>
      <c r="D63" s="2" t="s">
        <v>98</v>
      </c>
      <c r="E63" s="18">
        <f t="shared" si="1"/>
        <v>-0.0004342713014444864</v>
      </c>
      <c r="F63" s="18">
        <f t="shared" si="2"/>
        <v>0</v>
      </c>
      <c r="G63" s="18">
        <f t="shared" si="3"/>
        <v>-40.000448944621866</v>
      </c>
      <c r="H63" s="18">
        <f t="shared" si="4"/>
        <v>0</v>
      </c>
    </row>
    <row r="64" spans="1:8" ht="12" customHeight="1">
      <c r="A64" s="68"/>
      <c r="B64" s="4">
        <v>300</v>
      </c>
      <c r="C64" s="5" t="s">
        <v>103</v>
      </c>
      <c r="D64" s="2" t="s">
        <v>98</v>
      </c>
      <c r="E64" s="18">
        <f t="shared" si="1"/>
        <v>-0.0021980520531661688</v>
      </c>
      <c r="F64" s="18">
        <f t="shared" si="2"/>
        <v>0</v>
      </c>
      <c r="G64" s="18">
        <f t="shared" si="3"/>
        <v>-32.958562363146335</v>
      </c>
      <c r="H64" s="18">
        <f t="shared" si="4"/>
        <v>0</v>
      </c>
    </row>
    <row r="65" spans="1:8" ht="12" customHeight="1">
      <c r="A65" s="68"/>
      <c r="B65" s="4">
        <v>400</v>
      </c>
      <c r="C65" s="5" t="s">
        <v>103</v>
      </c>
      <c r="D65" s="2" t="s">
        <v>98</v>
      </c>
      <c r="E65" s="18">
        <f t="shared" si="1"/>
        <v>-0.006943135223775024</v>
      </c>
      <c r="F65" s="18">
        <f t="shared" si="2"/>
        <v>0</v>
      </c>
      <c r="G65" s="18">
        <f t="shared" si="3"/>
        <v>-27.96575798198495</v>
      </c>
      <c r="H65" s="18">
        <f t="shared" si="4"/>
        <v>0</v>
      </c>
    </row>
    <row r="66" spans="1:8" ht="12" customHeight="1">
      <c r="A66" s="68"/>
      <c r="B66" s="4">
        <v>500</v>
      </c>
      <c r="C66" s="5" t="s">
        <v>103</v>
      </c>
      <c r="D66" s="2" t="s">
        <v>98</v>
      </c>
      <c r="E66" s="18">
        <f t="shared" si="1"/>
        <v>-0.016931523099913838</v>
      </c>
      <c r="F66" s="18">
        <f t="shared" si="2"/>
        <v>0</v>
      </c>
      <c r="G66" s="18">
        <f t="shared" si="3"/>
        <v>-24.099345849538835</v>
      </c>
      <c r="H66" s="18">
        <f t="shared" si="4"/>
        <v>0</v>
      </c>
    </row>
    <row r="67" spans="1:8" ht="12" customHeight="1">
      <c r="A67" s="68"/>
      <c r="B67" s="4">
        <v>700</v>
      </c>
      <c r="C67" s="5" t="s">
        <v>103</v>
      </c>
      <c r="D67" s="2" t="s">
        <v>98</v>
      </c>
      <c r="E67" s="18">
        <f t="shared" si="1"/>
        <v>-0.06468694774527853</v>
      </c>
      <c r="F67" s="18">
        <f t="shared" si="2"/>
        <v>0</v>
      </c>
      <c r="G67" s="18">
        <f t="shared" si="3"/>
        <v>-18.30197984705468</v>
      </c>
      <c r="H67" s="18">
        <f t="shared" si="4"/>
        <v>0</v>
      </c>
    </row>
    <row r="68" spans="1:8" ht="12" customHeight="1">
      <c r="A68" s="68"/>
      <c r="B68" s="4" t="s">
        <v>25</v>
      </c>
      <c r="C68" s="5" t="s">
        <v>103</v>
      </c>
      <c r="D68" s="2" t="s">
        <v>98</v>
      </c>
      <c r="E68" s="18">
        <f t="shared" si="1"/>
        <v>-0.26328852408836895</v>
      </c>
      <c r="F68" s="18">
        <f t="shared" si="2"/>
        <v>0</v>
      </c>
      <c r="G68" s="18">
        <f t="shared" si="3"/>
        <v>-12.304503023968039</v>
      </c>
      <c r="H68" s="18">
        <f t="shared" si="4"/>
        <v>0</v>
      </c>
    </row>
    <row r="69" spans="1:8" ht="12" customHeight="1">
      <c r="A69" s="68"/>
      <c r="B69" s="4" t="s">
        <v>26</v>
      </c>
      <c r="C69" s="5" t="s">
        <v>103</v>
      </c>
      <c r="D69" s="2" t="s">
        <v>98</v>
      </c>
      <c r="E69" s="18">
        <f t="shared" si="1"/>
        <v>-1.193895828777594</v>
      </c>
      <c r="F69" s="18">
        <f t="shared" si="2"/>
        <v>0</v>
      </c>
      <c r="G69" s="18">
        <f t="shared" si="3"/>
        <v>-6.191459966430017</v>
      </c>
      <c r="H69" s="18">
        <f t="shared" si="4"/>
        <v>0</v>
      </c>
    </row>
    <row r="70" spans="1:8" ht="12" customHeight="1">
      <c r="A70" s="68"/>
      <c r="B70" s="4" t="s">
        <v>27</v>
      </c>
      <c r="C70" s="5" t="s">
        <v>103</v>
      </c>
      <c r="D70" s="2" t="s">
        <v>98</v>
      </c>
      <c r="E70" s="18">
        <f t="shared" si="1"/>
        <v>-3.010292619985796</v>
      </c>
      <c r="F70" s="18">
        <f t="shared" si="2"/>
        <v>0</v>
      </c>
      <c r="G70" s="18">
        <f t="shared" si="3"/>
        <v>-3.0103072933062265</v>
      </c>
      <c r="H70" s="18">
        <f t="shared" si="4"/>
        <v>0</v>
      </c>
    </row>
    <row r="71" spans="1:8" ht="12" customHeight="1">
      <c r="A71" s="68"/>
      <c r="B71" s="4" t="s">
        <v>28</v>
      </c>
      <c r="C71" s="5" t="s">
        <v>103</v>
      </c>
      <c r="D71" s="2" t="s">
        <v>98</v>
      </c>
      <c r="E71" s="18">
        <f t="shared" si="1"/>
        <v>-7.826505263127706</v>
      </c>
      <c r="F71" s="18">
        <f t="shared" si="2"/>
        <v>0</v>
      </c>
      <c r="G71" s="18">
        <f t="shared" si="3"/>
        <v>-0.7828695742208822</v>
      </c>
      <c r="H71" s="18">
        <f t="shared" si="4"/>
        <v>0</v>
      </c>
    </row>
    <row r="72" spans="1:8" ht="12" customHeight="1">
      <c r="A72" s="68"/>
      <c r="B72" s="4" t="s">
        <v>29</v>
      </c>
      <c r="C72" s="5" t="s">
        <v>103</v>
      </c>
      <c r="D72" s="2" t="s">
        <v>98</v>
      </c>
      <c r="E72" s="18">
        <f t="shared" si="1"/>
        <v>-12.30447540360018</v>
      </c>
      <c r="F72" s="18">
        <f t="shared" si="2"/>
        <v>0</v>
      </c>
      <c r="G72" s="18">
        <f t="shared" si="3"/>
        <v>-0.263290250361365</v>
      </c>
      <c r="H72" s="18">
        <f t="shared" si="4"/>
        <v>0</v>
      </c>
    </row>
    <row r="73" spans="1:8" ht="12" customHeight="1">
      <c r="A73" s="68"/>
      <c r="B73" s="4" t="s">
        <v>30</v>
      </c>
      <c r="C73" s="5" t="s">
        <v>103</v>
      </c>
      <c r="D73" s="2" t="s">
        <v>98</v>
      </c>
      <c r="E73" s="18">
        <f t="shared" si="1"/>
        <v>-16.027366161569834</v>
      </c>
      <c r="F73" s="18">
        <f t="shared" si="2"/>
        <v>0</v>
      </c>
      <c r="G73" s="18">
        <f t="shared" si="3"/>
        <v>-0.10978048800875229</v>
      </c>
      <c r="H73" s="18">
        <f t="shared" si="4"/>
        <v>0</v>
      </c>
    </row>
    <row r="74" spans="1:8" ht="12" customHeight="1">
      <c r="A74" s="68"/>
      <c r="B74" s="4" t="s">
        <v>31</v>
      </c>
      <c r="C74" s="5" t="s">
        <v>103</v>
      </c>
      <c r="D74" s="2" t="s">
        <v>98</v>
      </c>
      <c r="E74" s="18">
        <f t="shared" si="1"/>
        <v>-21.7915521013311</v>
      </c>
      <c r="F74" s="18">
        <f t="shared" si="2"/>
        <v>0</v>
      </c>
      <c r="G74" s="18">
        <f t="shared" si="3"/>
        <v>-0.02884500064050144</v>
      </c>
      <c r="H74" s="18">
        <f t="shared" si="4"/>
        <v>0</v>
      </c>
    </row>
    <row r="75" spans="1:8" ht="12" customHeight="1">
      <c r="A75" s="68"/>
      <c r="B75" s="4" t="s">
        <v>32</v>
      </c>
      <c r="C75" s="5" t="s">
        <v>103</v>
      </c>
      <c r="D75" s="2" t="s">
        <v>98</v>
      </c>
      <c r="E75" s="18">
        <f t="shared" si="1"/>
        <v>-27.96572868222372</v>
      </c>
      <c r="F75" s="18">
        <f t="shared" si="2"/>
        <v>0</v>
      </c>
      <c r="G75" s="18">
        <f t="shared" si="3"/>
        <v>-0.006943182103398726</v>
      </c>
      <c r="H75" s="18">
        <f t="shared" si="4"/>
        <v>0</v>
      </c>
    </row>
    <row r="76" spans="1:8" ht="12" customHeight="1">
      <c r="A76" s="68"/>
      <c r="B76" s="4" t="s">
        <v>33</v>
      </c>
      <c r="C76" s="5" t="s">
        <v>103</v>
      </c>
      <c r="D76" s="2" t="s">
        <v>98</v>
      </c>
      <c r="E76" s="18">
        <f t="shared" si="1"/>
        <v>-35.00380823515621</v>
      </c>
      <c r="F76" s="18">
        <f t="shared" si="2"/>
        <v>0</v>
      </c>
      <c r="G76" s="18">
        <f t="shared" si="3"/>
        <v>-0.0013723728086318943</v>
      </c>
      <c r="H76" s="18">
        <f t="shared" si="4"/>
        <v>0</v>
      </c>
    </row>
    <row r="77" spans="1:8" ht="12" customHeight="1">
      <c r="A77" s="69"/>
      <c r="B77" s="4" t="s">
        <v>34</v>
      </c>
      <c r="C77" s="5" t="s">
        <v>103</v>
      </c>
      <c r="D77" s="2" t="s">
        <v>98</v>
      </c>
      <c r="E77" s="18">
        <f t="shared" si="1"/>
        <v>-40.00041960091539</v>
      </c>
      <c r="F77" s="18">
        <f t="shared" si="2"/>
        <v>0</v>
      </c>
      <c r="G77" s="18">
        <f t="shared" si="3"/>
        <v>-0.00043427423581476887</v>
      </c>
      <c r="H77" s="18">
        <f t="shared" si="4"/>
        <v>0</v>
      </c>
    </row>
    <row r="78" spans="1:8" ht="12" customHeight="1">
      <c r="A78" s="67" t="s">
        <v>94</v>
      </c>
      <c r="B78" s="4">
        <v>20</v>
      </c>
      <c r="C78" s="5" t="s">
        <v>103</v>
      </c>
      <c r="D78" s="2" t="s">
        <v>97</v>
      </c>
      <c r="E78" s="41">
        <f aca="true" t="shared" si="5" ref="E78:E99">IF(E166="",0,180/PI()*ATAN(E144*E166/(E$31*(E144-E166)))+IF(E144&gt;E166,-180,0))+IF(E$19=1,180,0)</f>
        <v>-0.8103110079235667</v>
      </c>
      <c r="F78" s="41">
        <f aca="true" t="shared" si="6" ref="F78:F99">IF(F100="",0,180/PI()*ATAN(F100*F122/(F$31*(F100-F122)))+IF(F100&gt;F122,-180,0))+IF(F166="",0,180/PI()*ATAN(F144*F166/(F$31*(F144-F166)))+IF(F144&gt;F166,-180,0))+IF(F$19=1,180,0)</f>
        <v>0</v>
      </c>
      <c r="G78" s="41">
        <f aca="true" t="shared" si="7" ref="G78:G99">IF(G100="",0,180/PI()*ATAN(G100*G122/(G$31*(G100-G122)))+IF(G100&gt;G122,-180,0))+IF(G166="",0,180/PI()*ATAN(G144*G166/(G$31*(G144-G166)))+IF(G144&gt;G166,-180,0))+IF(G$19=1,-180,0)</f>
        <v>-0.8103110079235667</v>
      </c>
      <c r="H78" s="41">
        <f aca="true" t="shared" si="8" ref="H78:H99">IF(H100="",0,180/PI()*ATAN(H100*H122/(H$31*(H100-H122)))+IF(H100&gt;H122,-180,0))+IF(H$19=1,-180,0)</f>
        <v>0</v>
      </c>
    </row>
    <row r="79" spans="1:8" ht="12" customHeight="1">
      <c r="A79" s="68"/>
      <c r="B79" s="4">
        <v>30</v>
      </c>
      <c r="C79" s="5" t="s">
        <v>103</v>
      </c>
      <c r="D79" s="2" t="s">
        <v>97</v>
      </c>
      <c r="E79" s="41">
        <f t="shared" si="5"/>
        <v>-1.2155171446726987</v>
      </c>
      <c r="F79" s="41">
        <f t="shared" si="6"/>
        <v>0</v>
      </c>
      <c r="G79" s="41">
        <f t="shared" si="7"/>
        <v>-1.2155171446726987</v>
      </c>
      <c r="H79" s="41">
        <f t="shared" si="8"/>
        <v>0</v>
      </c>
    </row>
    <row r="80" spans="1:8" ht="12" customHeight="1">
      <c r="A80" s="68"/>
      <c r="B80" s="4">
        <v>40</v>
      </c>
      <c r="C80" s="5" t="s">
        <v>103</v>
      </c>
      <c r="D80" s="2" t="s">
        <v>97</v>
      </c>
      <c r="E80" s="41">
        <f t="shared" si="5"/>
        <v>-1.6207840237419346</v>
      </c>
      <c r="F80" s="41">
        <f t="shared" si="6"/>
        <v>0</v>
      </c>
      <c r="G80" s="41">
        <f t="shared" si="7"/>
        <v>-1.6207840237419346</v>
      </c>
      <c r="H80" s="41">
        <f t="shared" si="8"/>
        <v>0</v>
      </c>
    </row>
    <row r="81" spans="1:8" ht="12" customHeight="1">
      <c r="A81" s="68"/>
      <c r="B81" s="4">
        <v>50</v>
      </c>
      <c r="C81" s="5" t="s">
        <v>103</v>
      </c>
      <c r="D81" s="2" t="s">
        <v>97</v>
      </c>
      <c r="E81" s="41">
        <f t="shared" si="5"/>
        <v>-2.026131864183126</v>
      </c>
      <c r="F81" s="41">
        <f t="shared" si="6"/>
        <v>0</v>
      </c>
      <c r="G81" s="41">
        <f t="shared" si="7"/>
        <v>-2.026131864183126</v>
      </c>
      <c r="H81" s="41">
        <f t="shared" si="8"/>
        <v>0</v>
      </c>
    </row>
    <row r="82" spans="1:8" ht="12" customHeight="1">
      <c r="A82" s="68"/>
      <c r="B82" s="4">
        <v>70</v>
      </c>
      <c r="C82" s="5" t="s">
        <v>103</v>
      </c>
      <c r="D82" s="2" t="s">
        <v>97</v>
      </c>
      <c r="E82" s="41">
        <f t="shared" si="5"/>
        <v>-2.8371511774645555</v>
      </c>
      <c r="F82" s="41">
        <f t="shared" si="6"/>
        <v>0</v>
      </c>
      <c r="G82" s="41">
        <f t="shared" si="7"/>
        <v>-2.8371511774645555</v>
      </c>
      <c r="H82" s="41">
        <f t="shared" si="8"/>
        <v>0</v>
      </c>
    </row>
    <row r="83" spans="1:8" ht="12" customHeight="1">
      <c r="A83" s="68"/>
      <c r="B83" s="4">
        <v>100</v>
      </c>
      <c r="C83" s="5" t="s">
        <v>103</v>
      </c>
      <c r="D83" s="2" t="s">
        <v>97</v>
      </c>
      <c r="E83" s="41">
        <f t="shared" si="5"/>
        <v>-4.054791104962807</v>
      </c>
      <c r="F83" s="41">
        <f t="shared" si="6"/>
        <v>0</v>
      </c>
      <c r="G83" s="41">
        <f t="shared" si="7"/>
        <v>-4.054791104962807</v>
      </c>
      <c r="H83" s="41">
        <f t="shared" si="8"/>
        <v>0</v>
      </c>
    </row>
    <row r="84" spans="1:8" ht="12" customHeight="1">
      <c r="A84" s="68"/>
      <c r="B84" s="4">
        <v>150</v>
      </c>
      <c r="C84" s="5" t="s">
        <v>103</v>
      </c>
      <c r="D84" s="2" t="s">
        <v>97</v>
      </c>
      <c r="E84" s="41">
        <f t="shared" si="5"/>
        <v>-6.088485989883947</v>
      </c>
      <c r="F84" s="41">
        <f t="shared" si="6"/>
        <v>0</v>
      </c>
      <c r="G84" s="41">
        <f t="shared" si="7"/>
        <v>-6.088485989883947</v>
      </c>
      <c r="H84" s="41">
        <f t="shared" si="8"/>
        <v>0</v>
      </c>
    </row>
    <row r="85" spans="1:8" ht="12" customHeight="1">
      <c r="A85" s="68"/>
      <c r="B85" s="4">
        <v>200</v>
      </c>
      <c r="C85" s="5" t="s">
        <v>103</v>
      </c>
      <c r="D85" s="2" t="s">
        <v>97</v>
      </c>
      <c r="E85" s="41">
        <f t="shared" si="5"/>
        <v>-8.129686217555903</v>
      </c>
      <c r="F85" s="41">
        <f t="shared" si="6"/>
        <v>0</v>
      </c>
      <c r="G85" s="41">
        <f t="shared" si="7"/>
        <v>-8.129686217555903</v>
      </c>
      <c r="H85" s="41">
        <f t="shared" si="8"/>
        <v>0</v>
      </c>
    </row>
    <row r="86" spans="1:8" ht="12" customHeight="1">
      <c r="A86" s="68"/>
      <c r="B86" s="4">
        <v>300</v>
      </c>
      <c r="C86" s="5" t="s">
        <v>103</v>
      </c>
      <c r="D86" s="2" t="s">
        <v>97</v>
      </c>
      <c r="E86" s="41">
        <f t="shared" si="5"/>
        <v>-12.244166757855453</v>
      </c>
      <c r="F86" s="41">
        <f t="shared" si="6"/>
        <v>0</v>
      </c>
      <c r="G86" s="41">
        <f t="shared" si="7"/>
        <v>-12.244166757855453</v>
      </c>
      <c r="H86" s="41">
        <f t="shared" si="8"/>
        <v>0</v>
      </c>
    </row>
    <row r="87" spans="1:8" ht="12" customHeight="1">
      <c r="A87" s="68"/>
      <c r="B87" s="4">
        <v>400</v>
      </c>
      <c r="C87" s="5" t="s">
        <v>103</v>
      </c>
      <c r="D87" s="2" t="s">
        <v>97</v>
      </c>
      <c r="E87" s="41">
        <f t="shared" si="5"/>
        <v>-16.416426160428518</v>
      </c>
      <c r="F87" s="41">
        <f t="shared" si="6"/>
        <v>0</v>
      </c>
      <c r="G87" s="41">
        <f t="shared" si="7"/>
        <v>-16.416426160428518</v>
      </c>
      <c r="H87" s="41">
        <f t="shared" si="8"/>
        <v>0</v>
      </c>
    </row>
    <row r="88" spans="1:8" ht="12" customHeight="1">
      <c r="A88" s="68"/>
      <c r="B88" s="4">
        <v>500</v>
      </c>
      <c r="C88" s="5" t="s">
        <v>103</v>
      </c>
      <c r="D88" s="2" t="s">
        <v>97</v>
      </c>
      <c r="E88" s="41">
        <f t="shared" si="5"/>
        <v>-20.662625895663176</v>
      </c>
      <c r="F88" s="41">
        <f t="shared" si="6"/>
        <v>0</v>
      </c>
      <c r="G88" s="41">
        <f t="shared" si="7"/>
        <v>-20.662625895663176</v>
      </c>
      <c r="H88" s="41">
        <f t="shared" si="8"/>
        <v>0</v>
      </c>
    </row>
    <row r="89" spans="1:8" ht="12" customHeight="1">
      <c r="A89" s="68"/>
      <c r="B89" s="4">
        <v>700</v>
      </c>
      <c r="C89" s="5" t="s">
        <v>103</v>
      </c>
      <c r="D89" s="2" t="s">
        <v>97</v>
      </c>
      <c r="E89" s="41">
        <f t="shared" si="5"/>
        <v>-29.426179043354836</v>
      </c>
      <c r="F89" s="41">
        <f t="shared" si="6"/>
        <v>0</v>
      </c>
      <c r="G89" s="41">
        <f t="shared" si="7"/>
        <v>-29.426179043354836</v>
      </c>
      <c r="H89" s="41">
        <f t="shared" si="8"/>
        <v>0</v>
      </c>
    </row>
    <row r="90" spans="1:8" ht="12" customHeight="1">
      <c r="A90" s="68"/>
      <c r="B90" s="4" t="s">
        <v>5</v>
      </c>
      <c r="C90" s="5" t="s">
        <v>103</v>
      </c>
      <c r="D90" s="2" t="s">
        <v>97</v>
      </c>
      <c r="E90" s="41">
        <f t="shared" si="5"/>
        <v>-43.313816398392106</v>
      </c>
      <c r="F90" s="41">
        <f t="shared" si="6"/>
        <v>0</v>
      </c>
      <c r="G90" s="41">
        <f t="shared" si="7"/>
        <v>-43.313816398392106</v>
      </c>
      <c r="H90" s="41">
        <f t="shared" si="8"/>
        <v>0</v>
      </c>
    </row>
    <row r="91" spans="1:8" ht="12" customHeight="1">
      <c r="A91" s="68"/>
      <c r="B91" s="4" t="s">
        <v>6</v>
      </c>
      <c r="C91" s="5" t="s">
        <v>103</v>
      </c>
      <c r="D91" s="2" t="s">
        <v>97</v>
      </c>
      <c r="E91" s="41">
        <f t="shared" si="5"/>
        <v>-67.58482201882408</v>
      </c>
      <c r="F91" s="41">
        <f t="shared" si="6"/>
        <v>0</v>
      </c>
      <c r="G91" s="41">
        <f t="shared" si="7"/>
        <v>-67.58482201882408</v>
      </c>
      <c r="H91" s="41">
        <f t="shared" si="8"/>
        <v>0</v>
      </c>
    </row>
    <row r="92" spans="1:8" ht="12" customHeight="1">
      <c r="A92" s="68"/>
      <c r="B92" s="4" t="s">
        <v>7</v>
      </c>
      <c r="C92" s="5" t="s">
        <v>103</v>
      </c>
      <c r="D92" s="2" t="s">
        <v>97</v>
      </c>
      <c r="E92" s="41">
        <f t="shared" si="5"/>
        <v>-89.99993155815174</v>
      </c>
      <c r="F92" s="41">
        <f t="shared" si="6"/>
        <v>0</v>
      </c>
      <c r="G92" s="41">
        <f t="shared" si="7"/>
        <v>-89.99993155815174</v>
      </c>
      <c r="H92" s="41">
        <f t="shared" si="8"/>
        <v>0</v>
      </c>
    </row>
    <row r="93" spans="1:8" ht="12" customHeight="1">
      <c r="A93" s="68"/>
      <c r="B93" s="4" t="s">
        <v>8</v>
      </c>
      <c r="C93" s="5" t="s">
        <v>103</v>
      </c>
      <c r="D93" s="2" t="s">
        <v>97</v>
      </c>
      <c r="E93" s="41">
        <f t="shared" si="5"/>
        <v>-120.50890383046757</v>
      </c>
      <c r="F93" s="41">
        <f t="shared" si="6"/>
        <v>0</v>
      </c>
      <c r="G93" s="41">
        <f t="shared" si="7"/>
        <v>-120.50890383046757</v>
      </c>
      <c r="H93" s="41">
        <f t="shared" si="8"/>
        <v>0</v>
      </c>
    </row>
    <row r="94" spans="1:8" ht="12" customHeight="1">
      <c r="A94" s="68"/>
      <c r="B94" s="4" t="s">
        <v>9</v>
      </c>
      <c r="C94" s="5" t="s">
        <v>103</v>
      </c>
      <c r="D94" s="2" t="s">
        <v>97</v>
      </c>
      <c r="E94" s="41">
        <f t="shared" si="5"/>
        <v>-136.6861030817864</v>
      </c>
      <c r="F94" s="41">
        <f t="shared" si="6"/>
        <v>0</v>
      </c>
      <c r="G94" s="41">
        <f t="shared" si="7"/>
        <v>-136.6861030817864</v>
      </c>
      <c r="H94" s="41">
        <f t="shared" si="8"/>
        <v>0</v>
      </c>
    </row>
    <row r="95" spans="1:8" ht="12" customHeight="1">
      <c r="A95" s="68"/>
      <c r="B95" s="4" t="s">
        <v>10</v>
      </c>
      <c r="C95" s="5" t="s">
        <v>103</v>
      </c>
      <c r="D95" s="2" t="s">
        <v>97</v>
      </c>
      <c r="E95" s="41">
        <f t="shared" si="5"/>
        <v>-146.04226354701763</v>
      </c>
      <c r="F95" s="41">
        <f t="shared" si="6"/>
        <v>0</v>
      </c>
      <c r="G95" s="41">
        <f t="shared" si="7"/>
        <v>-146.04226354701763</v>
      </c>
      <c r="H95" s="41">
        <f t="shared" si="8"/>
        <v>0</v>
      </c>
    </row>
    <row r="96" spans="1:8" ht="12" customHeight="1">
      <c r="A96" s="68"/>
      <c r="B96" s="4" t="s">
        <v>11</v>
      </c>
      <c r="C96" s="5" t="s">
        <v>103</v>
      </c>
      <c r="D96" s="2" t="s">
        <v>97</v>
      </c>
      <c r="E96" s="41">
        <f t="shared" si="5"/>
        <v>-156.25156202952564</v>
      </c>
      <c r="F96" s="41">
        <f t="shared" si="6"/>
        <v>0</v>
      </c>
      <c r="G96" s="41">
        <f t="shared" si="7"/>
        <v>-156.25156202952564</v>
      </c>
      <c r="H96" s="41">
        <f t="shared" si="8"/>
        <v>0</v>
      </c>
    </row>
    <row r="97" spans="1:8" ht="12" customHeight="1">
      <c r="A97" s="68"/>
      <c r="B97" s="4" t="s">
        <v>12</v>
      </c>
      <c r="C97" s="5" t="s">
        <v>103</v>
      </c>
      <c r="D97" s="2" t="s">
        <v>97</v>
      </c>
      <c r="E97" s="41">
        <f t="shared" si="5"/>
        <v>-163.58354541324474</v>
      </c>
      <c r="F97" s="41">
        <f t="shared" si="6"/>
        <v>0</v>
      </c>
      <c r="G97" s="41">
        <f t="shared" si="7"/>
        <v>-163.58354541324474</v>
      </c>
      <c r="H97" s="41">
        <f t="shared" si="8"/>
        <v>0</v>
      </c>
    </row>
    <row r="98" spans="1:8" ht="12" customHeight="1">
      <c r="A98" s="68"/>
      <c r="B98" s="4" t="s">
        <v>13</v>
      </c>
      <c r="C98" s="5" t="s">
        <v>103</v>
      </c>
      <c r="D98" s="2" t="s">
        <v>97</v>
      </c>
      <c r="E98" s="41">
        <f t="shared" si="5"/>
        <v>-169.13286388444337</v>
      </c>
      <c r="F98" s="41">
        <f t="shared" si="6"/>
        <v>0</v>
      </c>
      <c r="G98" s="41">
        <f t="shared" si="7"/>
        <v>-169.13286388444337</v>
      </c>
      <c r="H98" s="41">
        <f t="shared" si="8"/>
        <v>0</v>
      </c>
    </row>
    <row r="99" spans="1:8" ht="12" customHeight="1">
      <c r="A99" s="69"/>
      <c r="B99" s="4" t="s">
        <v>14</v>
      </c>
      <c r="C99" s="5" t="s">
        <v>103</v>
      </c>
      <c r="D99" s="2" t="s">
        <v>97</v>
      </c>
      <c r="E99" s="41">
        <f t="shared" si="5"/>
        <v>-171.87029995857313</v>
      </c>
      <c r="F99" s="41">
        <f t="shared" si="6"/>
        <v>0</v>
      </c>
      <c r="G99" s="41">
        <f t="shared" si="7"/>
        <v>-171.87029995857313</v>
      </c>
      <c r="H99" s="41">
        <f t="shared" si="8"/>
        <v>0</v>
      </c>
    </row>
    <row r="100" spans="1:8" ht="12" customHeight="1">
      <c r="A100" s="67" t="s">
        <v>165</v>
      </c>
      <c r="B100" s="4">
        <v>20</v>
      </c>
      <c r="C100" s="5" t="s">
        <v>103</v>
      </c>
      <c r="D100" s="2" t="s">
        <v>164</v>
      </c>
      <c r="E100" s="6">
        <f aca="true" t="shared" si="9" ref="E100:E121">IF(E$24="","",2*3.14159*$B100*E$24*0.001)</f>
        <v>0.08485274207028008</v>
      </c>
      <c r="F100" s="6">
        <f aca="true" t="shared" si="10" ref="F100:H121">IF(F$22="","",2*3.14159*$B100*F$22*0.001)</f>
      </c>
      <c r="G100" s="6">
        <f t="shared" si="10"/>
        <v>0.08485274207028008</v>
      </c>
      <c r="H100" s="6">
        <f t="shared" si="10"/>
      </c>
    </row>
    <row r="101" spans="1:8" ht="12" customHeight="1">
      <c r="A101" s="68"/>
      <c r="B101" s="4">
        <v>30</v>
      </c>
      <c r="C101" s="5" t="s">
        <v>103</v>
      </c>
      <c r="D101" s="2" t="s">
        <v>164</v>
      </c>
      <c r="E101" s="6">
        <f t="shared" si="9"/>
        <v>0.12727911310542012</v>
      </c>
      <c r="F101" s="6">
        <f t="shared" si="10"/>
      </c>
      <c r="G101" s="6">
        <f t="shared" si="10"/>
        <v>0.12727911310542012</v>
      </c>
      <c r="H101" s="6">
        <f t="shared" si="10"/>
      </c>
    </row>
    <row r="102" spans="1:8" ht="12" customHeight="1">
      <c r="A102" s="68"/>
      <c r="B102" s="4">
        <v>40</v>
      </c>
      <c r="C102" s="5" t="s">
        <v>103</v>
      </c>
      <c r="D102" s="2" t="s">
        <v>164</v>
      </c>
      <c r="E102" s="6">
        <f t="shared" si="9"/>
        <v>0.16970548414056016</v>
      </c>
      <c r="F102" s="6">
        <f t="shared" si="10"/>
      </c>
      <c r="G102" s="6">
        <f t="shared" si="10"/>
        <v>0.16970548414056016</v>
      </c>
      <c r="H102" s="6">
        <f t="shared" si="10"/>
      </c>
    </row>
    <row r="103" spans="1:8" ht="12" customHeight="1">
      <c r="A103" s="68"/>
      <c r="B103" s="4">
        <v>50</v>
      </c>
      <c r="C103" s="5" t="s">
        <v>103</v>
      </c>
      <c r="D103" s="2" t="s">
        <v>164</v>
      </c>
      <c r="E103" s="6">
        <f t="shared" si="9"/>
        <v>0.21213185517570024</v>
      </c>
      <c r="F103" s="6">
        <f t="shared" si="10"/>
      </c>
      <c r="G103" s="6">
        <f t="shared" si="10"/>
        <v>0.21213185517570024</v>
      </c>
      <c r="H103" s="6">
        <f t="shared" si="10"/>
      </c>
    </row>
    <row r="104" spans="1:8" ht="12" customHeight="1">
      <c r="A104" s="68"/>
      <c r="B104" s="4">
        <v>70</v>
      </c>
      <c r="C104" s="5" t="s">
        <v>103</v>
      </c>
      <c r="D104" s="2" t="s">
        <v>164</v>
      </c>
      <c r="E104" s="6">
        <f t="shared" si="9"/>
        <v>0.2969845972459803</v>
      </c>
      <c r="F104" s="6">
        <f t="shared" si="10"/>
      </c>
      <c r="G104" s="6">
        <f t="shared" si="10"/>
        <v>0.2969845972459803</v>
      </c>
      <c r="H104" s="6">
        <f t="shared" si="10"/>
      </c>
    </row>
    <row r="105" spans="1:8" ht="12" customHeight="1">
      <c r="A105" s="68"/>
      <c r="B105" s="4">
        <v>100</v>
      </c>
      <c r="C105" s="5" t="s">
        <v>103</v>
      </c>
      <c r="D105" s="2" t="s">
        <v>164</v>
      </c>
      <c r="E105" s="6">
        <f t="shared" si="9"/>
        <v>0.4242637103514005</v>
      </c>
      <c r="F105" s="6">
        <f t="shared" si="10"/>
      </c>
      <c r="G105" s="6">
        <f t="shared" si="10"/>
        <v>0.4242637103514005</v>
      </c>
      <c r="H105" s="6">
        <f t="shared" si="10"/>
      </c>
    </row>
    <row r="106" spans="1:8" ht="12" customHeight="1">
      <c r="A106" s="68"/>
      <c r="B106" s="4">
        <v>150</v>
      </c>
      <c r="C106" s="5" t="s">
        <v>103</v>
      </c>
      <c r="D106" s="2" t="s">
        <v>164</v>
      </c>
      <c r="E106" s="6">
        <f t="shared" si="9"/>
        <v>0.6363955655271006</v>
      </c>
      <c r="F106" s="6">
        <f t="shared" si="10"/>
      </c>
      <c r="G106" s="6">
        <f t="shared" si="10"/>
        <v>0.6363955655271006</v>
      </c>
      <c r="H106" s="6">
        <f t="shared" si="10"/>
      </c>
    </row>
    <row r="107" spans="1:8" ht="12" customHeight="1">
      <c r="A107" s="68"/>
      <c r="B107" s="4">
        <v>200</v>
      </c>
      <c r="C107" s="5" t="s">
        <v>103</v>
      </c>
      <c r="D107" s="2" t="s">
        <v>164</v>
      </c>
      <c r="E107" s="6">
        <f t="shared" si="9"/>
        <v>0.848527420702801</v>
      </c>
      <c r="F107" s="6">
        <f t="shared" si="10"/>
      </c>
      <c r="G107" s="6">
        <f t="shared" si="10"/>
        <v>0.848527420702801</v>
      </c>
      <c r="H107" s="6">
        <f t="shared" si="10"/>
      </c>
    </row>
    <row r="108" spans="1:8" ht="12" customHeight="1">
      <c r="A108" s="68"/>
      <c r="B108" s="4">
        <v>300</v>
      </c>
      <c r="C108" s="5" t="s">
        <v>103</v>
      </c>
      <c r="D108" s="2" t="s">
        <v>164</v>
      </c>
      <c r="E108" s="6">
        <f t="shared" si="9"/>
        <v>1.2727911310542013</v>
      </c>
      <c r="F108" s="6">
        <f t="shared" si="10"/>
      </c>
      <c r="G108" s="6">
        <f t="shared" si="10"/>
        <v>1.2727911310542013</v>
      </c>
      <c r="H108" s="6">
        <f t="shared" si="10"/>
      </c>
    </row>
    <row r="109" spans="1:8" ht="12" customHeight="1">
      <c r="A109" s="68"/>
      <c r="B109" s="4">
        <v>400</v>
      </c>
      <c r="C109" s="5" t="s">
        <v>103</v>
      </c>
      <c r="D109" s="2" t="s">
        <v>164</v>
      </c>
      <c r="E109" s="6">
        <f t="shared" si="9"/>
        <v>1.697054841405602</v>
      </c>
      <c r="F109" s="6">
        <f t="shared" si="10"/>
      </c>
      <c r="G109" s="6">
        <f t="shared" si="10"/>
        <v>1.697054841405602</v>
      </c>
      <c r="H109" s="6">
        <f t="shared" si="10"/>
      </c>
    </row>
    <row r="110" spans="1:8" ht="12" customHeight="1">
      <c r="A110" s="68"/>
      <c r="B110" s="4">
        <v>500</v>
      </c>
      <c r="C110" s="5" t="s">
        <v>103</v>
      </c>
      <c r="D110" s="2" t="s">
        <v>164</v>
      </c>
      <c r="E110" s="6">
        <f t="shared" si="9"/>
        <v>2.121318551757002</v>
      </c>
      <c r="F110" s="6">
        <f t="shared" si="10"/>
      </c>
      <c r="G110" s="6">
        <f t="shared" si="10"/>
        <v>2.121318551757002</v>
      </c>
      <c r="H110" s="6">
        <f t="shared" si="10"/>
      </c>
    </row>
    <row r="111" spans="1:8" ht="12" customHeight="1">
      <c r="A111" s="68"/>
      <c r="B111" s="4">
        <v>700</v>
      </c>
      <c r="C111" s="5" t="s">
        <v>103</v>
      </c>
      <c r="D111" s="2" t="s">
        <v>164</v>
      </c>
      <c r="E111" s="6">
        <f t="shared" si="9"/>
        <v>2.9698459724598028</v>
      </c>
      <c r="F111" s="6">
        <f t="shared" si="10"/>
      </c>
      <c r="G111" s="6">
        <f t="shared" si="10"/>
        <v>2.9698459724598028</v>
      </c>
      <c r="H111" s="6">
        <f t="shared" si="10"/>
      </c>
    </row>
    <row r="112" spans="1:8" ht="12" customHeight="1">
      <c r="A112" s="68"/>
      <c r="B112" s="4">
        <v>1000</v>
      </c>
      <c r="C112" s="5" t="s">
        <v>103</v>
      </c>
      <c r="D112" s="2" t="s">
        <v>164</v>
      </c>
      <c r="E112" s="6">
        <f t="shared" si="9"/>
        <v>4.242637103514004</v>
      </c>
      <c r="F112" s="6">
        <f t="shared" si="10"/>
      </c>
      <c r="G112" s="6">
        <f t="shared" si="10"/>
        <v>4.242637103514004</v>
      </c>
      <c r="H112" s="6">
        <f t="shared" si="10"/>
      </c>
    </row>
    <row r="113" spans="1:8" ht="12" customHeight="1">
      <c r="A113" s="68"/>
      <c r="B113" s="4">
        <v>1500</v>
      </c>
      <c r="C113" s="5" t="s">
        <v>103</v>
      </c>
      <c r="D113" s="2" t="s">
        <v>164</v>
      </c>
      <c r="E113" s="6">
        <f t="shared" si="9"/>
        <v>6.363955655271006</v>
      </c>
      <c r="F113" s="6">
        <f t="shared" si="10"/>
      </c>
      <c r="G113" s="6">
        <f t="shared" si="10"/>
        <v>6.363955655271006</v>
      </c>
      <c r="H113" s="6">
        <f t="shared" si="10"/>
      </c>
    </row>
    <row r="114" spans="1:8" ht="12" customHeight="1">
      <c r="A114" s="68"/>
      <c r="B114" s="4">
        <v>2000</v>
      </c>
      <c r="C114" s="5" t="s">
        <v>103</v>
      </c>
      <c r="D114" s="2" t="s">
        <v>164</v>
      </c>
      <c r="E114" s="6">
        <f t="shared" si="9"/>
        <v>8.485274207028008</v>
      </c>
      <c r="F114" s="6">
        <f t="shared" si="10"/>
      </c>
      <c r="G114" s="6">
        <f t="shared" si="10"/>
        <v>8.485274207028008</v>
      </c>
      <c r="H114" s="6">
        <f t="shared" si="10"/>
      </c>
    </row>
    <row r="115" spans="1:8" ht="12" customHeight="1">
      <c r="A115" s="68"/>
      <c r="B115" s="4">
        <v>3000</v>
      </c>
      <c r="C115" s="5" t="s">
        <v>103</v>
      </c>
      <c r="D115" s="2" t="s">
        <v>164</v>
      </c>
      <c r="E115" s="6">
        <f t="shared" si="9"/>
        <v>12.727911310542012</v>
      </c>
      <c r="F115" s="6">
        <f t="shared" si="10"/>
      </c>
      <c r="G115" s="6">
        <f t="shared" si="10"/>
        <v>12.727911310542012</v>
      </c>
      <c r="H115" s="6">
        <f t="shared" si="10"/>
      </c>
    </row>
    <row r="116" spans="1:8" ht="12" customHeight="1">
      <c r="A116" s="68"/>
      <c r="B116" s="4">
        <v>4000</v>
      </c>
      <c r="C116" s="5" t="s">
        <v>103</v>
      </c>
      <c r="D116" s="2" t="s">
        <v>164</v>
      </c>
      <c r="E116" s="6">
        <f t="shared" si="9"/>
        <v>16.970548414056015</v>
      </c>
      <c r="F116" s="6">
        <f t="shared" si="10"/>
      </c>
      <c r="G116" s="6">
        <f t="shared" si="10"/>
        <v>16.970548414056015</v>
      </c>
      <c r="H116" s="6">
        <f t="shared" si="10"/>
      </c>
    </row>
    <row r="117" spans="1:8" ht="12" customHeight="1">
      <c r="A117" s="68"/>
      <c r="B117" s="4">
        <v>5000</v>
      </c>
      <c r="C117" s="5" t="s">
        <v>103</v>
      </c>
      <c r="D117" s="2" t="s">
        <v>164</v>
      </c>
      <c r="E117" s="6">
        <f t="shared" si="9"/>
        <v>21.21318551757002</v>
      </c>
      <c r="F117" s="6">
        <f t="shared" si="10"/>
      </c>
      <c r="G117" s="6">
        <f t="shared" si="10"/>
        <v>21.21318551757002</v>
      </c>
      <c r="H117" s="6">
        <f t="shared" si="10"/>
      </c>
    </row>
    <row r="118" spans="1:8" ht="12" customHeight="1">
      <c r="A118" s="68"/>
      <c r="B118" s="4">
        <v>7000</v>
      </c>
      <c r="C118" s="5" t="s">
        <v>103</v>
      </c>
      <c r="D118" s="2" t="s">
        <v>164</v>
      </c>
      <c r="E118" s="6">
        <f t="shared" si="9"/>
        <v>29.698459724598028</v>
      </c>
      <c r="F118" s="6">
        <f t="shared" si="10"/>
      </c>
      <c r="G118" s="6">
        <f t="shared" si="10"/>
        <v>29.698459724598028</v>
      </c>
      <c r="H118" s="6">
        <f t="shared" si="10"/>
      </c>
    </row>
    <row r="119" spans="1:8" ht="12" customHeight="1">
      <c r="A119" s="68"/>
      <c r="B119" s="4">
        <v>10000</v>
      </c>
      <c r="C119" s="5" t="s">
        <v>103</v>
      </c>
      <c r="D119" s="2" t="s">
        <v>164</v>
      </c>
      <c r="E119" s="6">
        <f t="shared" si="9"/>
        <v>42.42637103514004</v>
      </c>
      <c r="F119" s="6">
        <f t="shared" si="10"/>
      </c>
      <c r="G119" s="6">
        <f t="shared" si="10"/>
        <v>42.42637103514004</v>
      </c>
      <c r="H119" s="6">
        <f t="shared" si="10"/>
      </c>
    </row>
    <row r="120" spans="1:8" ht="12" customHeight="1">
      <c r="A120" s="68"/>
      <c r="B120" s="4">
        <v>15000</v>
      </c>
      <c r="C120" s="5" t="s">
        <v>103</v>
      </c>
      <c r="D120" s="2" t="s">
        <v>164</v>
      </c>
      <c r="E120" s="6">
        <f t="shared" si="9"/>
        <v>63.63955655271006</v>
      </c>
      <c r="F120" s="6">
        <f t="shared" si="10"/>
      </c>
      <c r="G120" s="6">
        <f t="shared" si="10"/>
        <v>63.63955655271006</v>
      </c>
      <c r="H120" s="6">
        <f t="shared" si="10"/>
      </c>
    </row>
    <row r="121" spans="1:8" ht="12" customHeight="1">
      <c r="A121" s="69"/>
      <c r="B121" s="4">
        <v>20000</v>
      </c>
      <c r="C121" s="5" t="s">
        <v>103</v>
      </c>
      <c r="D121" s="2" t="s">
        <v>164</v>
      </c>
      <c r="E121" s="6">
        <f t="shared" si="9"/>
        <v>84.85274207028009</v>
      </c>
      <c r="F121" s="6">
        <f t="shared" si="10"/>
      </c>
      <c r="G121" s="6">
        <f t="shared" si="10"/>
        <v>84.85274207028009</v>
      </c>
      <c r="H121" s="6">
        <f t="shared" si="10"/>
      </c>
    </row>
    <row r="122" spans="1:8" ht="12" customHeight="1">
      <c r="A122" s="67" t="s">
        <v>166</v>
      </c>
      <c r="B122" s="4">
        <v>20</v>
      </c>
      <c r="C122" s="5" t="s">
        <v>103</v>
      </c>
      <c r="D122" s="2" t="s">
        <v>164</v>
      </c>
      <c r="E122" s="6">
        <f aca="true" t="shared" si="11" ref="E122:E143">IF(E$25="","",1/(2*3.14159*$B100*E$25/1000000))</f>
        <v>848.5288541455186</v>
      </c>
      <c r="F122" s="6">
        <f aca="true" t="shared" si="12" ref="F122:H143">IF(F$23="","",1/(2*3.14159*$B100*F$23/1000000))</f>
      </c>
      <c r="G122" s="6">
        <f t="shared" si="12"/>
        <v>848.5288541455186</v>
      </c>
      <c r="H122" s="6">
        <f t="shared" si="12"/>
      </c>
    </row>
    <row r="123" spans="1:8" ht="12" customHeight="1">
      <c r="A123" s="68"/>
      <c r="B123" s="4">
        <v>30</v>
      </c>
      <c r="C123" s="5" t="s">
        <v>103</v>
      </c>
      <c r="D123" s="2" t="s">
        <v>164</v>
      </c>
      <c r="E123" s="6">
        <f t="shared" si="11"/>
        <v>565.685902763679</v>
      </c>
      <c r="F123" s="6">
        <f t="shared" si="12"/>
      </c>
      <c r="G123" s="6">
        <f t="shared" si="12"/>
        <v>565.685902763679</v>
      </c>
      <c r="H123" s="6">
        <f t="shared" si="12"/>
      </c>
    </row>
    <row r="124" spans="1:8" ht="12" customHeight="1">
      <c r="A124" s="68"/>
      <c r="B124" s="4">
        <v>40</v>
      </c>
      <c r="C124" s="5" t="s">
        <v>103</v>
      </c>
      <c r="D124" s="2" t="s">
        <v>164</v>
      </c>
      <c r="E124" s="6">
        <f t="shared" si="11"/>
        <v>424.2644270727593</v>
      </c>
      <c r="F124" s="6">
        <f t="shared" si="12"/>
      </c>
      <c r="G124" s="6">
        <f t="shared" si="12"/>
        <v>424.2644270727593</v>
      </c>
      <c r="H124" s="6">
        <f t="shared" si="12"/>
      </c>
    </row>
    <row r="125" spans="1:8" ht="12" customHeight="1">
      <c r="A125" s="68"/>
      <c r="B125" s="4">
        <v>50</v>
      </c>
      <c r="C125" s="5" t="s">
        <v>103</v>
      </c>
      <c r="D125" s="2" t="s">
        <v>164</v>
      </c>
      <c r="E125" s="6">
        <f t="shared" si="11"/>
        <v>339.41154165820745</v>
      </c>
      <c r="F125" s="6">
        <f t="shared" si="12"/>
      </c>
      <c r="G125" s="6">
        <f t="shared" si="12"/>
        <v>339.41154165820745</v>
      </c>
      <c r="H125" s="6">
        <f t="shared" si="12"/>
      </c>
    </row>
    <row r="126" spans="1:8" ht="12" customHeight="1">
      <c r="A126" s="68"/>
      <c r="B126" s="4">
        <v>70</v>
      </c>
      <c r="C126" s="5" t="s">
        <v>103</v>
      </c>
      <c r="D126" s="2" t="s">
        <v>164</v>
      </c>
      <c r="E126" s="6">
        <f t="shared" si="11"/>
        <v>242.4368154701482</v>
      </c>
      <c r="F126" s="6">
        <f t="shared" si="12"/>
      </c>
      <c r="G126" s="6">
        <f t="shared" si="12"/>
        <v>242.4368154701482</v>
      </c>
      <c r="H126" s="6">
        <f t="shared" si="12"/>
      </c>
    </row>
    <row r="127" spans="1:8" ht="12" customHeight="1">
      <c r="A127" s="68"/>
      <c r="B127" s="4">
        <v>100</v>
      </c>
      <c r="C127" s="5" t="s">
        <v>103</v>
      </c>
      <c r="D127" s="2" t="s">
        <v>164</v>
      </c>
      <c r="E127" s="6">
        <f t="shared" si="11"/>
        <v>169.70577082910373</v>
      </c>
      <c r="F127" s="6">
        <f t="shared" si="12"/>
      </c>
      <c r="G127" s="6">
        <f t="shared" si="12"/>
        <v>169.70577082910373</v>
      </c>
      <c r="H127" s="6">
        <f t="shared" si="12"/>
      </c>
    </row>
    <row r="128" spans="1:8" ht="12" customHeight="1">
      <c r="A128" s="68"/>
      <c r="B128" s="4">
        <v>150</v>
      </c>
      <c r="C128" s="5" t="s">
        <v>103</v>
      </c>
      <c r="D128" s="2" t="s">
        <v>164</v>
      </c>
      <c r="E128" s="6">
        <f t="shared" si="11"/>
        <v>113.13718055273581</v>
      </c>
      <c r="F128" s="6">
        <f t="shared" si="12"/>
      </c>
      <c r="G128" s="6">
        <f t="shared" si="12"/>
        <v>113.13718055273581</v>
      </c>
      <c r="H128" s="6">
        <f t="shared" si="12"/>
      </c>
    </row>
    <row r="129" spans="1:8" ht="12" customHeight="1">
      <c r="A129" s="68"/>
      <c r="B129" s="4">
        <v>200</v>
      </c>
      <c r="C129" s="5" t="s">
        <v>103</v>
      </c>
      <c r="D129" s="2" t="s">
        <v>164</v>
      </c>
      <c r="E129" s="6">
        <f t="shared" si="11"/>
        <v>84.85288541455186</v>
      </c>
      <c r="F129" s="6">
        <f t="shared" si="12"/>
      </c>
      <c r="G129" s="6">
        <f t="shared" si="12"/>
        <v>84.85288541455186</v>
      </c>
      <c r="H129" s="6">
        <f t="shared" si="12"/>
      </c>
    </row>
    <row r="130" spans="1:8" ht="12" customHeight="1">
      <c r="A130" s="68"/>
      <c r="B130" s="4">
        <v>300</v>
      </c>
      <c r="C130" s="5" t="s">
        <v>103</v>
      </c>
      <c r="D130" s="2" t="s">
        <v>164</v>
      </c>
      <c r="E130" s="6">
        <f t="shared" si="11"/>
        <v>56.56859027636791</v>
      </c>
      <c r="F130" s="6">
        <f t="shared" si="12"/>
      </c>
      <c r="G130" s="6">
        <f t="shared" si="12"/>
        <v>56.56859027636791</v>
      </c>
      <c r="H130" s="6">
        <f t="shared" si="12"/>
      </c>
    </row>
    <row r="131" spans="1:8" ht="12" customHeight="1">
      <c r="A131" s="68"/>
      <c r="B131" s="4">
        <v>400</v>
      </c>
      <c r="C131" s="5" t="s">
        <v>103</v>
      </c>
      <c r="D131" s="2" t="s">
        <v>164</v>
      </c>
      <c r="E131" s="6">
        <f t="shared" si="11"/>
        <v>42.42644270727593</v>
      </c>
      <c r="F131" s="6">
        <f t="shared" si="12"/>
      </c>
      <c r="G131" s="6">
        <f t="shared" si="12"/>
        <v>42.42644270727593</v>
      </c>
      <c r="H131" s="6">
        <f t="shared" si="12"/>
      </c>
    </row>
    <row r="132" spans="1:8" ht="12" customHeight="1">
      <c r="A132" s="68"/>
      <c r="B132" s="4">
        <v>500</v>
      </c>
      <c r="C132" s="5" t="s">
        <v>103</v>
      </c>
      <c r="D132" s="2" t="s">
        <v>164</v>
      </c>
      <c r="E132" s="6">
        <f t="shared" si="11"/>
        <v>33.94115416582075</v>
      </c>
      <c r="F132" s="6">
        <f t="shared" si="12"/>
      </c>
      <c r="G132" s="6">
        <f t="shared" si="12"/>
        <v>33.94115416582075</v>
      </c>
      <c r="H132" s="6">
        <f t="shared" si="12"/>
      </c>
    </row>
    <row r="133" spans="1:8" ht="12" customHeight="1">
      <c r="A133" s="68"/>
      <c r="B133" s="4">
        <v>700</v>
      </c>
      <c r="C133" s="5" t="s">
        <v>103</v>
      </c>
      <c r="D133" s="2" t="s">
        <v>164</v>
      </c>
      <c r="E133" s="6">
        <f t="shared" si="11"/>
        <v>24.24368154701482</v>
      </c>
      <c r="F133" s="6">
        <f t="shared" si="12"/>
      </c>
      <c r="G133" s="6">
        <f t="shared" si="12"/>
        <v>24.24368154701482</v>
      </c>
      <c r="H133" s="6">
        <f t="shared" si="12"/>
      </c>
    </row>
    <row r="134" spans="1:8" ht="12" customHeight="1">
      <c r="A134" s="68"/>
      <c r="B134" s="4" t="s">
        <v>35</v>
      </c>
      <c r="C134" s="5" t="s">
        <v>103</v>
      </c>
      <c r="D134" s="2" t="s">
        <v>164</v>
      </c>
      <c r="E134" s="6">
        <f t="shared" si="11"/>
        <v>16.970577082910374</v>
      </c>
      <c r="F134" s="6">
        <f t="shared" si="12"/>
      </c>
      <c r="G134" s="6">
        <f t="shared" si="12"/>
        <v>16.970577082910374</v>
      </c>
      <c r="H134" s="6">
        <f t="shared" si="12"/>
      </c>
    </row>
    <row r="135" spans="1:8" ht="12" customHeight="1">
      <c r="A135" s="68"/>
      <c r="B135" s="4" t="s">
        <v>36</v>
      </c>
      <c r="C135" s="5" t="s">
        <v>103</v>
      </c>
      <c r="D135" s="2" t="s">
        <v>164</v>
      </c>
      <c r="E135" s="6">
        <f t="shared" si="11"/>
        <v>11.31371805527358</v>
      </c>
      <c r="F135" s="6">
        <f t="shared" si="12"/>
      </c>
      <c r="G135" s="6">
        <f t="shared" si="12"/>
        <v>11.31371805527358</v>
      </c>
      <c r="H135" s="6">
        <f t="shared" si="12"/>
      </c>
    </row>
    <row r="136" spans="1:8" ht="12" customHeight="1">
      <c r="A136" s="68"/>
      <c r="B136" s="4" t="s">
        <v>37</v>
      </c>
      <c r="C136" s="5" t="s">
        <v>103</v>
      </c>
      <c r="D136" s="2" t="s">
        <v>164</v>
      </c>
      <c r="E136" s="6">
        <f t="shared" si="11"/>
        <v>8.485288541455187</v>
      </c>
      <c r="F136" s="6">
        <f t="shared" si="12"/>
      </c>
      <c r="G136" s="6">
        <f t="shared" si="12"/>
        <v>8.485288541455187</v>
      </c>
      <c r="H136" s="6">
        <f t="shared" si="12"/>
      </c>
    </row>
    <row r="137" spans="1:8" ht="12" customHeight="1">
      <c r="A137" s="68"/>
      <c r="B137" s="4" t="s">
        <v>38</v>
      </c>
      <c r="C137" s="5" t="s">
        <v>103</v>
      </c>
      <c r="D137" s="2" t="s">
        <v>164</v>
      </c>
      <c r="E137" s="6">
        <f t="shared" si="11"/>
        <v>5.65685902763679</v>
      </c>
      <c r="F137" s="6">
        <f t="shared" si="12"/>
      </c>
      <c r="G137" s="6">
        <f t="shared" si="12"/>
        <v>5.65685902763679</v>
      </c>
      <c r="H137" s="6">
        <f t="shared" si="12"/>
      </c>
    </row>
    <row r="138" spans="1:8" ht="12" customHeight="1">
      <c r="A138" s="68"/>
      <c r="B138" s="4" t="s">
        <v>39</v>
      </c>
      <c r="C138" s="5" t="s">
        <v>103</v>
      </c>
      <c r="D138" s="2" t="s">
        <v>164</v>
      </c>
      <c r="E138" s="6">
        <f t="shared" si="11"/>
        <v>4.2426442707275935</v>
      </c>
      <c r="F138" s="6">
        <f t="shared" si="12"/>
      </c>
      <c r="G138" s="6">
        <f t="shared" si="12"/>
        <v>4.2426442707275935</v>
      </c>
      <c r="H138" s="6">
        <f t="shared" si="12"/>
      </c>
    </row>
    <row r="139" spans="1:8" ht="12" customHeight="1">
      <c r="A139" s="68"/>
      <c r="B139" s="4" t="s">
        <v>40</v>
      </c>
      <c r="C139" s="5" t="s">
        <v>103</v>
      </c>
      <c r="D139" s="2" t="s">
        <v>164</v>
      </c>
      <c r="E139" s="6">
        <f t="shared" si="11"/>
        <v>3.3941154165820744</v>
      </c>
      <c r="F139" s="6">
        <f t="shared" si="12"/>
      </c>
      <c r="G139" s="6">
        <f t="shared" si="12"/>
        <v>3.3941154165820744</v>
      </c>
      <c r="H139" s="6">
        <f t="shared" si="12"/>
      </c>
    </row>
    <row r="140" spans="1:8" ht="12" customHeight="1">
      <c r="A140" s="68"/>
      <c r="B140" s="4" t="s">
        <v>41</v>
      </c>
      <c r="C140" s="5" t="s">
        <v>103</v>
      </c>
      <c r="D140" s="2" t="s">
        <v>164</v>
      </c>
      <c r="E140" s="6">
        <f t="shared" si="11"/>
        <v>2.4243681547014817</v>
      </c>
      <c r="F140" s="6">
        <f t="shared" si="12"/>
      </c>
      <c r="G140" s="6">
        <f t="shared" si="12"/>
        <v>2.4243681547014817</v>
      </c>
      <c r="H140" s="6">
        <f t="shared" si="12"/>
      </c>
    </row>
    <row r="141" spans="1:8" ht="12" customHeight="1">
      <c r="A141" s="68"/>
      <c r="B141" s="4" t="s">
        <v>42</v>
      </c>
      <c r="C141" s="5" t="s">
        <v>103</v>
      </c>
      <c r="D141" s="2" t="s">
        <v>164</v>
      </c>
      <c r="E141" s="6">
        <f t="shared" si="11"/>
        <v>1.6970577082910372</v>
      </c>
      <c r="F141" s="6">
        <f t="shared" si="12"/>
      </c>
      <c r="G141" s="6">
        <f t="shared" si="12"/>
        <v>1.6970577082910372</v>
      </c>
      <c r="H141" s="6">
        <f t="shared" si="12"/>
      </c>
    </row>
    <row r="142" spans="1:8" ht="12" customHeight="1">
      <c r="A142" s="68"/>
      <c r="B142" s="4" t="s">
        <v>43</v>
      </c>
      <c r="C142" s="5" t="s">
        <v>103</v>
      </c>
      <c r="D142" s="2" t="s">
        <v>164</v>
      </c>
      <c r="E142" s="6">
        <f t="shared" si="11"/>
        <v>1.131371805527358</v>
      </c>
      <c r="F142" s="6">
        <f t="shared" si="12"/>
      </c>
      <c r="G142" s="6">
        <f t="shared" si="12"/>
        <v>1.131371805527358</v>
      </c>
      <c r="H142" s="6">
        <f t="shared" si="12"/>
      </c>
    </row>
    <row r="143" spans="1:8" ht="12" customHeight="1">
      <c r="A143" s="69"/>
      <c r="B143" s="4" t="s">
        <v>44</v>
      </c>
      <c r="C143" s="5" t="s">
        <v>103</v>
      </c>
      <c r="D143" s="2" t="s">
        <v>164</v>
      </c>
      <c r="E143" s="6">
        <f t="shared" si="11"/>
        <v>0.8485288541455186</v>
      </c>
      <c r="F143" s="6">
        <f t="shared" si="12"/>
      </c>
      <c r="G143" s="6">
        <f t="shared" si="12"/>
        <v>0.8485288541455186</v>
      </c>
      <c r="H143" s="6">
        <f t="shared" si="12"/>
      </c>
    </row>
    <row r="144" spans="1:8" ht="12" customHeight="1">
      <c r="A144" s="67" t="s">
        <v>167</v>
      </c>
      <c r="B144" s="4">
        <v>20</v>
      </c>
      <c r="C144" s="5" t="s">
        <v>103</v>
      </c>
      <c r="D144" s="2" t="s">
        <v>164</v>
      </c>
      <c r="E144" s="6">
        <f aca="true" t="shared" si="13" ref="E144:H165">IF(E$24="","",2*3.14159*$B100*E$24*0.001)</f>
        <v>0.08485274207028008</v>
      </c>
      <c r="F144" s="6">
        <f t="shared" si="13"/>
      </c>
      <c r="G144" s="6">
        <f t="shared" si="13"/>
      </c>
      <c r="H144" s="6">
        <f t="shared" si="13"/>
      </c>
    </row>
    <row r="145" spans="1:8" ht="12" customHeight="1">
      <c r="A145" s="68"/>
      <c r="B145" s="4">
        <v>30</v>
      </c>
      <c r="C145" s="5" t="s">
        <v>103</v>
      </c>
      <c r="D145" s="2" t="s">
        <v>164</v>
      </c>
      <c r="E145" s="6">
        <f t="shared" si="13"/>
        <v>0.12727911310542012</v>
      </c>
      <c r="F145" s="6">
        <f t="shared" si="13"/>
      </c>
      <c r="G145" s="6">
        <f t="shared" si="13"/>
      </c>
      <c r="H145" s="6">
        <f t="shared" si="13"/>
      </c>
    </row>
    <row r="146" spans="1:8" ht="12" customHeight="1">
      <c r="A146" s="68"/>
      <c r="B146" s="4">
        <v>40</v>
      </c>
      <c r="C146" s="5" t="s">
        <v>103</v>
      </c>
      <c r="D146" s="2" t="s">
        <v>164</v>
      </c>
      <c r="E146" s="6">
        <f t="shared" si="13"/>
        <v>0.16970548414056016</v>
      </c>
      <c r="F146" s="6">
        <f t="shared" si="13"/>
      </c>
      <c r="G146" s="6">
        <f t="shared" si="13"/>
      </c>
      <c r="H146" s="6">
        <f t="shared" si="13"/>
      </c>
    </row>
    <row r="147" spans="1:8" ht="12" customHeight="1">
      <c r="A147" s="68"/>
      <c r="B147" s="4">
        <v>50</v>
      </c>
      <c r="C147" s="5" t="s">
        <v>103</v>
      </c>
      <c r="D147" s="2" t="s">
        <v>164</v>
      </c>
      <c r="E147" s="6">
        <f t="shared" si="13"/>
        <v>0.21213185517570024</v>
      </c>
      <c r="F147" s="6">
        <f t="shared" si="13"/>
      </c>
      <c r="G147" s="6">
        <f t="shared" si="13"/>
      </c>
      <c r="H147" s="6">
        <f t="shared" si="13"/>
      </c>
    </row>
    <row r="148" spans="1:8" ht="12" customHeight="1">
      <c r="A148" s="68"/>
      <c r="B148" s="4">
        <v>70</v>
      </c>
      <c r="C148" s="5" t="s">
        <v>103</v>
      </c>
      <c r="D148" s="2" t="s">
        <v>164</v>
      </c>
      <c r="E148" s="6">
        <f t="shared" si="13"/>
        <v>0.2969845972459803</v>
      </c>
      <c r="F148" s="6">
        <f t="shared" si="13"/>
      </c>
      <c r="G148" s="6">
        <f t="shared" si="13"/>
      </c>
      <c r="H148" s="6">
        <f t="shared" si="13"/>
      </c>
    </row>
    <row r="149" spans="1:8" ht="12" customHeight="1">
      <c r="A149" s="68"/>
      <c r="B149" s="4">
        <v>100</v>
      </c>
      <c r="C149" s="5" t="s">
        <v>103</v>
      </c>
      <c r="D149" s="2" t="s">
        <v>164</v>
      </c>
      <c r="E149" s="6">
        <f t="shared" si="13"/>
        <v>0.4242637103514005</v>
      </c>
      <c r="F149" s="6">
        <f t="shared" si="13"/>
      </c>
      <c r="G149" s="6">
        <f t="shared" si="13"/>
      </c>
      <c r="H149" s="6">
        <f t="shared" si="13"/>
      </c>
    </row>
    <row r="150" spans="1:8" ht="12" customHeight="1">
      <c r="A150" s="68"/>
      <c r="B150" s="4">
        <v>150</v>
      </c>
      <c r="C150" s="5" t="s">
        <v>103</v>
      </c>
      <c r="D150" s="2" t="s">
        <v>164</v>
      </c>
      <c r="E150" s="6">
        <f t="shared" si="13"/>
        <v>0.6363955655271006</v>
      </c>
      <c r="F150" s="6">
        <f t="shared" si="13"/>
      </c>
      <c r="G150" s="6">
        <f t="shared" si="13"/>
      </c>
      <c r="H150" s="6">
        <f t="shared" si="13"/>
      </c>
    </row>
    <row r="151" spans="1:8" ht="12" customHeight="1">
      <c r="A151" s="68"/>
      <c r="B151" s="4">
        <v>200</v>
      </c>
      <c r="C151" s="5" t="s">
        <v>103</v>
      </c>
      <c r="D151" s="2" t="s">
        <v>164</v>
      </c>
      <c r="E151" s="6">
        <f t="shared" si="13"/>
        <v>0.848527420702801</v>
      </c>
      <c r="F151" s="6">
        <f t="shared" si="13"/>
      </c>
      <c r="G151" s="6">
        <f t="shared" si="13"/>
      </c>
      <c r="H151" s="6">
        <f t="shared" si="13"/>
      </c>
    </row>
    <row r="152" spans="1:8" ht="12" customHeight="1">
      <c r="A152" s="68"/>
      <c r="B152" s="4">
        <v>300</v>
      </c>
      <c r="C152" s="5" t="s">
        <v>103</v>
      </c>
      <c r="D152" s="2" t="s">
        <v>164</v>
      </c>
      <c r="E152" s="6">
        <f t="shared" si="13"/>
        <v>1.2727911310542013</v>
      </c>
      <c r="F152" s="6">
        <f t="shared" si="13"/>
      </c>
      <c r="G152" s="6">
        <f t="shared" si="13"/>
      </c>
      <c r="H152" s="6">
        <f t="shared" si="13"/>
      </c>
    </row>
    <row r="153" spans="1:8" ht="12" customHeight="1">
      <c r="A153" s="68"/>
      <c r="B153" s="4">
        <v>400</v>
      </c>
      <c r="C153" s="5" t="s">
        <v>103</v>
      </c>
      <c r="D153" s="2" t="s">
        <v>164</v>
      </c>
      <c r="E153" s="6">
        <f t="shared" si="13"/>
        <v>1.697054841405602</v>
      </c>
      <c r="F153" s="6">
        <f t="shared" si="13"/>
      </c>
      <c r="G153" s="6">
        <f t="shared" si="13"/>
      </c>
      <c r="H153" s="6">
        <f t="shared" si="13"/>
      </c>
    </row>
    <row r="154" spans="1:8" ht="12" customHeight="1">
      <c r="A154" s="68"/>
      <c r="B154" s="4">
        <v>500</v>
      </c>
      <c r="C154" s="5" t="s">
        <v>103</v>
      </c>
      <c r="D154" s="2" t="s">
        <v>164</v>
      </c>
      <c r="E154" s="6">
        <f t="shared" si="13"/>
        <v>2.121318551757002</v>
      </c>
      <c r="F154" s="6">
        <f t="shared" si="13"/>
      </c>
      <c r="G154" s="6">
        <f t="shared" si="13"/>
      </c>
      <c r="H154" s="6">
        <f t="shared" si="13"/>
      </c>
    </row>
    <row r="155" spans="1:8" ht="12" customHeight="1">
      <c r="A155" s="68"/>
      <c r="B155" s="4">
        <v>700</v>
      </c>
      <c r="C155" s="5" t="s">
        <v>103</v>
      </c>
      <c r="D155" s="2" t="s">
        <v>164</v>
      </c>
      <c r="E155" s="6">
        <f t="shared" si="13"/>
        <v>2.9698459724598028</v>
      </c>
      <c r="F155" s="6">
        <f t="shared" si="13"/>
      </c>
      <c r="G155" s="6">
        <f t="shared" si="13"/>
      </c>
      <c r="H155" s="6">
        <f t="shared" si="13"/>
      </c>
    </row>
    <row r="156" spans="1:8" ht="12" customHeight="1">
      <c r="A156" s="68"/>
      <c r="B156" s="4" t="s">
        <v>35</v>
      </c>
      <c r="C156" s="5" t="s">
        <v>103</v>
      </c>
      <c r="D156" s="2" t="s">
        <v>164</v>
      </c>
      <c r="E156" s="6">
        <f t="shared" si="13"/>
        <v>4.242637103514004</v>
      </c>
      <c r="F156" s="6">
        <f t="shared" si="13"/>
      </c>
      <c r="G156" s="6">
        <f t="shared" si="13"/>
      </c>
      <c r="H156" s="6">
        <f t="shared" si="13"/>
      </c>
    </row>
    <row r="157" spans="1:8" ht="12" customHeight="1">
      <c r="A157" s="68"/>
      <c r="B157" s="4" t="s">
        <v>36</v>
      </c>
      <c r="C157" s="5" t="s">
        <v>103</v>
      </c>
      <c r="D157" s="2" t="s">
        <v>164</v>
      </c>
      <c r="E157" s="6">
        <f t="shared" si="13"/>
        <v>6.363955655271006</v>
      </c>
      <c r="F157" s="6">
        <f t="shared" si="13"/>
      </c>
      <c r="G157" s="6">
        <f t="shared" si="13"/>
      </c>
      <c r="H157" s="6">
        <f t="shared" si="13"/>
      </c>
    </row>
    <row r="158" spans="1:8" ht="12" customHeight="1">
      <c r="A158" s="68"/>
      <c r="B158" s="4" t="s">
        <v>37</v>
      </c>
      <c r="C158" s="5" t="s">
        <v>103</v>
      </c>
      <c r="D158" s="2" t="s">
        <v>164</v>
      </c>
      <c r="E158" s="6">
        <f t="shared" si="13"/>
        <v>8.485274207028008</v>
      </c>
      <c r="F158" s="6">
        <f t="shared" si="13"/>
      </c>
      <c r="G158" s="6">
        <f t="shared" si="13"/>
      </c>
      <c r="H158" s="6">
        <f t="shared" si="13"/>
      </c>
    </row>
    <row r="159" spans="1:8" ht="12" customHeight="1">
      <c r="A159" s="68"/>
      <c r="B159" s="4" t="s">
        <v>38</v>
      </c>
      <c r="C159" s="5" t="s">
        <v>103</v>
      </c>
      <c r="D159" s="2" t="s">
        <v>164</v>
      </c>
      <c r="E159" s="6">
        <f t="shared" si="13"/>
        <v>12.727911310542012</v>
      </c>
      <c r="F159" s="6">
        <f t="shared" si="13"/>
      </c>
      <c r="G159" s="6">
        <f t="shared" si="13"/>
      </c>
      <c r="H159" s="6">
        <f t="shared" si="13"/>
      </c>
    </row>
    <row r="160" spans="1:8" ht="12" customHeight="1">
      <c r="A160" s="68"/>
      <c r="B160" s="4" t="s">
        <v>39</v>
      </c>
      <c r="C160" s="5" t="s">
        <v>103</v>
      </c>
      <c r="D160" s="2" t="s">
        <v>164</v>
      </c>
      <c r="E160" s="6">
        <f t="shared" si="13"/>
        <v>16.970548414056015</v>
      </c>
      <c r="F160" s="6">
        <f t="shared" si="13"/>
      </c>
      <c r="G160" s="6">
        <f t="shared" si="13"/>
      </c>
      <c r="H160" s="6">
        <f t="shared" si="13"/>
      </c>
    </row>
    <row r="161" spans="1:8" ht="12" customHeight="1">
      <c r="A161" s="68"/>
      <c r="B161" s="4" t="s">
        <v>40</v>
      </c>
      <c r="C161" s="5" t="s">
        <v>103</v>
      </c>
      <c r="D161" s="2" t="s">
        <v>164</v>
      </c>
      <c r="E161" s="6">
        <f t="shared" si="13"/>
        <v>21.21318551757002</v>
      </c>
      <c r="F161" s="6">
        <f t="shared" si="13"/>
      </c>
      <c r="G161" s="6">
        <f t="shared" si="13"/>
      </c>
      <c r="H161" s="6">
        <f t="shared" si="13"/>
      </c>
    </row>
    <row r="162" spans="1:8" ht="12" customHeight="1">
      <c r="A162" s="68"/>
      <c r="B162" s="4" t="s">
        <v>41</v>
      </c>
      <c r="C162" s="5" t="s">
        <v>103</v>
      </c>
      <c r="D162" s="2" t="s">
        <v>164</v>
      </c>
      <c r="E162" s="6">
        <f t="shared" si="13"/>
        <v>29.698459724598028</v>
      </c>
      <c r="F162" s="6">
        <f t="shared" si="13"/>
      </c>
      <c r="G162" s="6">
        <f t="shared" si="13"/>
      </c>
      <c r="H162" s="6">
        <f t="shared" si="13"/>
      </c>
    </row>
    <row r="163" spans="1:8" ht="12" customHeight="1">
      <c r="A163" s="68"/>
      <c r="B163" s="4" t="s">
        <v>42</v>
      </c>
      <c r="C163" s="5" t="s">
        <v>103</v>
      </c>
      <c r="D163" s="2" t="s">
        <v>164</v>
      </c>
      <c r="E163" s="6">
        <f t="shared" si="13"/>
        <v>42.42637103514004</v>
      </c>
      <c r="F163" s="6">
        <f t="shared" si="13"/>
      </c>
      <c r="G163" s="6">
        <f t="shared" si="13"/>
      </c>
      <c r="H163" s="6">
        <f t="shared" si="13"/>
      </c>
    </row>
    <row r="164" spans="1:8" ht="12" customHeight="1">
      <c r="A164" s="68"/>
      <c r="B164" s="4" t="s">
        <v>43</v>
      </c>
      <c r="C164" s="5" t="s">
        <v>103</v>
      </c>
      <c r="D164" s="2" t="s">
        <v>164</v>
      </c>
      <c r="E164" s="6">
        <f t="shared" si="13"/>
        <v>63.63955655271006</v>
      </c>
      <c r="F164" s="6">
        <f t="shared" si="13"/>
      </c>
      <c r="G164" s="6">
        <f t="shared" si="13"/>
      </c>
      <c r="H164" s="6">
        <f t="shared" si="13"/>
      </c>
    </row>
    <row r="165" spans="1:8" ht="12" customHeight="1">
      <c r="A165" s="69"/>
      <c r="B165" s="4" t="s">
        <v>44</v>
      </c>
      <c r="C165" s="5" t="s">
        <v>103</v>
      </c>
      <c r="D165" s="2" t="s">
        <v>164</v>
      </c>
      <c r="E165" s="6">
        <f t="shared" si="13"/>
        <v>84.85274207028009</v>
      </c>
      <c r="F165" s="6">
        <f t="shared" si="13"/>
      </c>
      <c r="G165" s="6">
        <f t="shared" si="13"/>
      </c>
      <c r="H165" s="6">
        <f t="shared" si="13"/>
      </c>
    </row>
    <row r="166" spans="1:8" ht="12" customHeight="1">
      <c r="A166" s="67" t="s">
        <v>168</v>
      </c>
      <c r="B166" s="4">
        <v>20</v>
      </c>
      <c r="C166" s="5" t="s">
        <v>103</v>
      </c>
      <c r="D166" s="2" t="s">
        <v>164</v>
      </c>
      <c r="E166" s="6">
        <f aca="true" t="shared" si="14" ref="E166:H187">IF(E$25="","",1/(2*3.14159*$B100*E$25/1000000))</f>
        <v>848.5288541455186</v>
      </c>
      <c r="F166" s="6">
        <f t="shared" si="14"/>
      </c>
      <c r="G166" s="6">
        <f t="shared" si="14"/>
      </c>
      <c r="H166" s="6">
        <f t="shared" si="14"/>
      </c>
    </row>
    <row r="167" spans="1:8" ht="12" customHeight="1">
      <c r="A167" s="68"/>
      <c r="B167" s="4">
        <v>30</v>
      </c>
      <c r="C167" s="5" t="s">
        <v>103</v>
      </c>
      <c r="D167" s="2" t="s">
        <v>164</v>
      </c>
      <c r="E167" s="6">
        <f t="shared" si="14"/>
        <v>565.685902763679</v>
      </c>
      <c r="F167" s="6">
        <f t="shared" si="14"/>
      </c>
      <c r="G167" s="6">
        <f t="shared" si="14"/>
      </c>
      <c r="H167" s="6">
        <f t="shared" si="14"/>
      </c>
    </row>
    <row r="168" spans="1:8" ht="12" customHeight="1">
      <c r="A168" s="68"/>
      <c r="B168" s="4">
        <v>40</v>
      </c>
      <c r="C168" s="5" t="s">
        <v>103</v>
      </c>
      <c r="D168" s="2" t="s">
        <v>164</v>
      </c>
      <c r="E168" s="6">
        <f t="shared" si="14"/>
        <v>424.2644270727593</v>
      </c>
      <c r="F168" s="6">
        <f t="shared" si="14"/>
      </c>
      <c r="G168" s="6">
        <f t="shared" si="14"/>
      </c>
      <c r="H168" s="6">
        <f t="shared" si="14"/>
      </c>
    </row>
    <row r="169" spans="1:8" ht="12" customHeight="1">
      <c r="A169" s="68"/>
      <c r="B169" s="4">
        <v>50</v>
      </c>
      <c r="C169" s="5" t="s">
        <v>103</v>
      </c>
      <c r="D169" s="2" t="s">
        <v>164</v>
      </c>
      <c r="E169" s="6">
        <f t="shared" si="14"/>
        <v>339.41154165820745</v>
      </c>
      <c r="F169" s="6">
        <f t="shared" si="14"/>
      </c>
      <c r="G169" s="6">
        <f t="shared" si="14"/>
      </c>
      <c r="H169" s="6">
        <f t="shared" si="14"/>
      </c>
    </row>
    <row r="170" spans="1:8" ht="12" customHeight="1">
      <c r="A170" s="68"/>
      <c r="B170" s="4">
        <v>70</v>
      </c>
      <c r="C170" s="5" t="s">
        <v>103</v>
      </c>
      <c r="D170" s="2" t="s">
        <v>164</v>
      </c>
      <c r="E170" s="6">
        <f t="shared" si="14"/>
        <v>242.4368154701482</v>
      </c>
      <c r="F170" s="6">
        <f t="shared" si="14"/>
      </c>
      <c r="G170" s="6">
        <f t="shared" si="14"/>
      </c>
      <c r="H170" s="6">
        <f t="shared" si="14"/>
      </c>
    </row>
    <row r="171" spans="1:8" ht="12" customHeight="1">
      <c r="A171" s="68"/>
      <c r="B171" s="4">
        <v>100</v>
      </c>
      <c r="C171" s="5" t="s">
        <v>103</v>
      </c>
      <c r="D171" s="2" t="s">
        <v>164</v>
      </c>
      <c r="E171" s="6">
        <f t="shared" si="14"/>
        <v>169.70577082910373</v>
      </c>
      <c r="F171" s="6">
        <f t="shared" si="14"/>
      </c>
      <c r="G171" s="6">
        <f t="shared" si="14"/>
      </c>
      <c r="H171" s="6">
        <f t="shared" si="14"/>
      </c>
    </row>
    <row r="172" spans="1:8" ht="12" customHeight="1">
      <c r="A172" s="68"/>
      <c r="B172" s="4">
        <v>150</v>
      </c>
      <c r="C172" s="5" t="s">
        <v>103</v>
      </c>
      <c r="D172" s="2" t="s">
        <v>164</v>
      </c>
      <c r="E172" s="6">
        <f t="shared" si="14"/>
        <v>113.13718055273581</v>
      </c>
      <c r="F172" s="6">
        <f t="shared" si="14"/>
      </c>
      <c r="G172" s="6">
        <f t="shared" si="14"/>
      </c>
      <c r="H172" s="6">
        <f t="shared" si="14"/>
      </c>
    </row>
    <row r="173" spans="1:8" ht="12" customHeight="1">
      <c r="A173" s="68"/>
      <c r="B173" s="4">
        <v>200</v>
      </c>
      <c r="C173" s="5" t="s">
        <v>103</v>
      </c>
      <c r="D173" s="2" t="s">
        <v>164</v>
      </c>
      <c r="E173" s="6">
        <f t="shared" si="14"/>
        <v>84.85288541455186</v>
      </c>
      <c r="F173" s="6">
        <f t="shared" si="14"/>
      </c>
      <c r="G173" s="6">
        <f t="shared" si="14"/>
      </c>
      <c r="H173" s="6">
        <f t="shared" si="14"/>
      </c>
    </row>
    <row r="174" spans="1:8" ht="12" customHeight="1">
      <c r="A174" s="68"/>
      <c r="B174" s="4">
        <v>300</v>
      </c>
      <c r="C174" s="5" t="s">
        <v>103</v>
      </c>
      <c r="D174" s="2" t="s">
        <v>164</v>
      </c>
      <c r="E174" s="6">
        <f t="shared" si="14"/>
        <v>56.56859027636791</v>
      </c>
      <c r="F174" s="6">
        <f t="shared" si="14"/>
      </c>
      <c r="G174" s="6">
        <f t="shared" si="14"/>
      </c>
      <c r="H174" s="6">
        <f t="shared" si="14"/>
      </c>
    </row>
    <row r="175" spans="1:8" ht="12" customHeight="1">
      <c r="A175" s="68"/>
      <c r="B175" s="4">
        <v>400</v>
      </c>
      <c r="C175" s="5" t="s">
        <v>103</v>
      </c>
      <c r="D175" s="2" t="s">
        <v>164</v>
      </c>
      <c r="E175" s="6">
        <f t="shared" si="14"/>
        <v>42.42644270727593</v>
      </c>
      <c r="F175" s="6">
        <f t="shared" si="14"/>
      </c>
      <c r="G175" s="6">
        <f t="shared" si="14"/>
      </c>
      <c r="H175" s="6">
        <f t="shared" si="14"/>
      </c>
    </row>
    <row r="176" spans="1:8" ht="12" customHeight="1">
      <c r="A176" s="68"/>
      <c r="B176" s="4">
        <v>500</v>
      </c>
      <c r="C176" s="5" t="s">
        <v>103</v>
      </c>
      <c r="D176" s="2" t="s">
        <v>164</v>
      </c>
      <c r="E176" s="6">
        <f t="shared" si="14"/>
        <v>33.94115416582075</v>
      </c>
      <c r="F176" s="6">
        <f t="shared" si="14"/>
      </c>
      <c r="G176" s="6">
        <f t="shared" si="14"/>
      </c>
      <c r="H176" s="6">
        <f t="shared" si="14"/>
      </c>
    </row>
    <row r="177" spans="1:8" ht="12" customHeight="1">
      <c r="A177" s="68"/>
      <c r="B177" s="4">
        <v>700</v>
      </c>
      <c r="C177" s="5" t="s">
        <v>103</v>
      </c>
      <c r="D177" s="2" t="s">
        <v>164</v>
      </c>
      <c r="E177" s="6">
        <f t="shared" si="14"/>
        <v>24.24368154701482</v>
      </c>
      <c r="F177" s="6">
        <f t="shared" si="14"/>
      </c>
      <c r="G177" s="6">
        <f t="shared" si="14"/>
      </c>
      <c r="H177" s="6">
        <f t="shared" si="14"/>
      </c>
    </row>
    <row r="178" spans="1:8" ht="12" customHeight="1">
      <c r="A178" s="68"/>
      <c r="B178" s="4" t="s">
        <v>35</v>
      </c>
      <c r="C178" s="5" t="s">
        <v>103</v>
      </c>
      <c r="D178" s="2" t="s">
        <v>164</v>
      </c>
      <c r="E178" s="6">
        <f t="shared" si="14"/>
        <v>16.970577082910374</v>
      </c>
      <c r="F178" s="6">
        <f t="shared" si="14"/>
      </c>
      <c r="G178" s="6">
        <f t="shared" si="14"/>
      </c>
      <c r="H178" s="6">
        <f t="shared" si="14"/>
      </c>
    </row>
    <row r="179" spans="1:8" ht="12" customHeight="1">
      <c r="A179" s="68"/>
      <c r="B179" s="4" t="s">
        <v>36</v>
      </c>
      <c r="C179" s="5" t="s">
        <v>103</v>
      </c>
      <c r="D179" s="2" t="s">
        <v>164</v>
      </c>
      <c r="E179" s="6">
        <f t="shared" si="14"/>
        <v>11.31371805527358</v>
      </c>
      <c r="F179" s="6">
        <f t="shared" si="14"/>
      </c>
      <c r="G179" s="6">
        <f t="shared" si="14"/>
      </c>
      <c r="H179" s="6">
        <f t="shared" si="14"/>
      </c>
    </row>
    <row r="180" spans="1:8" ht="12" customHeight="1">
      <c r="A180" s="68"/>
      <c r="B180" s="4" t="s">
        <v>37</v>
      </c>
      <c r="C180" s="5" t="s">
        <v>103</v>
      </c>
      <c r="D180" s="2" t="s">
        <v>164</v>
      </c>
      <c r="E180" s="6">
        <f t="shared" si="14"/>
        <v>8.485288541455187</v>
      </c>
      <c r="F180" s="6">
        <f t="shared" si="14"/>
      </c>
      <c r="G180" s="6">
        <f t="shared" si="14"/>
      </c>
      <c r="H180" s="6">
        <f t="shared" si="14"/>
      </c>
    </row>
    <row r="181" spans="1:8" ht="12" customHeight="1">
      <c r="A181" s="68"/>
      <c r="B181" s="4" t="s">
        <v>38</v>
      </c>
      <c r="C181" s="5" t="s">
        <v>103</v>
      </c>
      <c r="D181" s="2" t="s">
        <v>164</v>
      </c>
      <c r="E181" s="6">
        <f t="shared" si="14"/>
        <v>5.65685902763679</v>
      </c>
      <c r="F181" s="6">
        <f t="shared" si="14"/>
      </c>
      <c r="G181" s="6">
        <f t="shared" si="14"/>
      </c>
      <c r="H181" s="6">
        <f t="shared" si="14"/>
      </c>
    </row>
    <row r="182" spans="1:8" ht="12" customHeight="1">
      <c r="A182" s="68"/>
      <c r="B182" s="4" t="s">
        <v>39</v>
      </c>
      <c r="C182" s="5" t="s">
        <v>103</v>
      </c>
      <c r="D182" s="2" t="s">
        <v>164</v>
      </c>
      <c r="E182" s="6">
        <f t="shared" si="14"/>
        <v>4.2426442707275935</v>
      </c>
      <c r="F182" s="6">
        <f t="shared" si="14"/>
      </c>
      <c r="G182" s="6">
        <f t="shared" si="14"/>
      </c>
      <c r="H182" s="6">
        <f t="shared" si="14"/>
      </c>
    </row>
    <row r="183" spans="1:8" ht="12" customHeight="1">
      <c r="A183" s="68"/>
      <c r="B183" s="4" t="s">
        <v>40</v>
      </c>
      <c r="C183" s="5" t="s">
        <v>103</v>
      </c>
      <c r="D183" s="2" t="s">
        <v>164</v>
      </c>
      <c r="E183" s="6">
        <f t="shared" si="14"/>
        <v>3.3941154165820744</v>
      </c>
      <c r="F183" s="6">
        <f t="shared" si="14"/>
      </c>
      <c r="G183" s="6">
        <f t="shared" si="14"/>
      </c>
      <c r="H183" s="6">
        <f t="shared" si="14"/>
      </c>
    </row>
    <row r="184" spans="1:8" ht="12" customHeight="1">
      <c r="A184" s="68"/>
      <c r="B184" s="4" t="s">
        <v>41</v>
      </c>
      <c r="C184" s="5" t="s">
        <v>103</v>
      </c>
      <c r="D184" s="2" t="s">
        <v>164</v>
      </c>
      <c r="E184" s="6">
        <f t="shared" si="14"/>
        <v>2.4243681547014817</v>
      </c>
      <c r="F184" s="6">
        <f t="shared" si="14"/>
      </c>
      <c r="G184" s="6">
        <f t="shared" si="14"/>
      </c>
      <c r="H184" s="6">
        <f t="shared" si="14"/>
      </c>
    </row>
    <row r="185" spans="1:8" ht="12" customHeight="1">
      <c r="A185" s="68"/>
      <c r="B185" s="4" t="s">
        <v>42</v>
      </c>
      <c r="C185" s="5" t="s">
        <v>103</v>
      </c>
      <c r="D185" s="2" t="s">
        <v>164</v>
      </c>
      <c r="E185" s="6">
        <f t="shared" si="14"/>
        <v>1.6970577082910372</v>
      </c>
      <c r="F185" s="6">
        <f t="shared" si="14"/>
      </c>
      <c r="G185" s="6">
        <f t="shared" si="14"/>
      </c>
      <c r="H185" s="6">
        <f t="shared" si="14"/>
      </c>
    </row>
    <row r="186" spans="1:8" ht="12" customHeight="1">
      <c r="A186" s="68"/>
      <c r="B186" s="4" t="s">
        <v>43</v>
      </c>
      <c r="C186" s="5" t="s">
        <v>103</v>
      </c>
      <c r="D186" s="2" t="s">
        <v>164</v>
      </c>
      <c r="E186" s="6">
        <f t="shared" si="14"/>
        <v>1.131371805527358</v>
      </c>
      <c r="F186" s="6">
        <f t="shared" si="14"/>
      </c>
      <c r="G186" s="6">
        <f t="shared" si="14"/>
      </c>
      <c r="H186" s="6">
        <f t="shared" si="14"/>
      </c>
    </row>
    <row r="187" spans="1:8" ht="12" customHeight="1">
      <c r="A187" s="69"/>
      <c r="B187" s="4" t="s">
        <v>44</v>
      </c>
      <c r="C187" s="5" t="s">
        <v>103</v>
      </c>
      <c r="D187" s="2" t="s">
        <v>164</v>
      </c>
      <c r="E187" s="6">
        <f t="shared" si="14"/>
        <v>0.8485288541455186</v>
      </c>
      <c r="F187" s="6">
        <f t="shared" si="14"/>
      </c>
      <c r="G187" s="6">
        <f t="shared" si="14"/>
      </c>
      <c r="H187" s="6">
        <f t="shared" si="14"/>
      </c>
    </row>
  </sheetData>
  <sheetProtection password="BF23" sheet="1" objects="1" scenarios="1"/>
  <mergeCells count="14">
    <mergeCell ref="A122:A143"/>
    <mergeCell ref="A144:A165"/>
    <mergeCell ref="A166:A187"/>
    <mergeCell ref="A34:A55"/>
    <mergeCell ref="A56:A77"/>
    <mergeCell ref="A78:A99"/>
    <mergeCell ref="A100:A121"/>
    <mergeCell ref="A1:F1"/>
    <mergeCell ref="A26:A33"/>
    <mergeCell ref="B16:C16"/>
    <mergeCell ref="A22:A23"/>
    <mergeCell ref="A24:A25"/>
    <mergeCell ref="B28:D28"/>
    <mergeCell ref="B19:D19"/>
  </mergeCells>
  <conditionalFormatting sqref="E19:H19">
    <cfRule type="cellIs" priority="1" dxfId="0" operator="notBetween" stopIfTrue="1">
      <formula>0</formula>
      <formula>1</formula>
    </cfRule>
  </conditionalFormatting>
  <conditionalFormatting sqref="E28:H28">
    <cfRule type="cellIs" priority="2" dxfId="0" operator="notBetween" stopIfTrue="1">
      <formula>0</formula>
      <formula>2</formula>
    </cfRule>
  </conditionalFormatting>
  <printOptions horizontalCentered="1"/>
  <pageMargins left="0.7874015748031497" right="0.3937007874015748" top="0.7874015748031497" bottom="0.3937007874015748" header="0.2755905511811024" footer="0.31496062992125984"/>
  <pageSetup horizontalDpi="600" verticalDpi="600" orientation="portrait" paperSize="9" r:id="rId4"/>
  <headerFooter alignWithMargins="0">
    <oddHeader>&amp;R&amp;P/&amp;N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　哲夫</dc:creator>
  <cp:keywords/>
  <dc:description/>
  <cp:lastModifiedBy>user</cp:lastModifiedBy>
  <cp:lastPrinted>2009-02-24T08:23:39Z</cp:lastPrinted>
  <dcterms:created xsi:type="dcterms:W3CDTF">2008-12-20T06:37:17Z</dcterms:created>
  <dcterms:modified xsi:type="dcterms:W3CDTF">2014-04-18T05:07:09Z</dcterms:modified>
  <cp:category/>
  <cp:version/>
  <cp:contentType/>
  <cp:contentStatus/>
</cp:coreProperties>
</file>