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75" windowHeight="9150" activeTab="0"/>
  </bookViews>
  <sheets>
    <sheet name="Parts Calculation" sheetId="1" r:id="rId1"/>
  </sheets>
  <definedNames>
    <definedName name="_xlnm.Print_Area" localSheetId="0">'Parts Calculation'!$A$1:$H$53</definedName>
  </definedNames>
  <calcPr fullCalcOnLoad="1"/>
</workbook>
</file>

<file path=xl/comments1.xml><?xml version="1.0" encoding="utf-8"?>
<comments xmlns="http://schemas.openxmlformats.org/spreadsheetml/2006/main">
  <authors>
    <author>伊東　哲夫</author>
  </authors>
  <commentList>
    <comment ref="D2" authorId="0">
      <text>
        <r>
          <rPr>
            <b/>
            <sz val="10"/>
            <rFont val="ＭＳ Ｐゴシック"/>
            <family val="3"/>
          </rPr>
          <t>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</commentList>
</comments>
</file>

<file path=xl/sharedStrings.xml><?xml version="1.0" encoding="utf-8"?>
<sst xmlns="http://schemas.openxmlformats.org/spreadsheetml/2006/main" count="169" uniqueCount="117">
  <si>
    <t>Parts Calculation Sheet of Network Circuit</t>
  </si>
  <si>
    <t>Circuit type</t>
  </si>
  <si>
    <t>(-3dB cross)</t>
  </si>
  <si>
    <t>Calculating formula</t>
  </si>
  <si>
    <t>Calculation Result</t>
  </si>
  <si>
    <t>Fixed Number</t>
  </si>
  <si>
    <t>Unit</t>
  </si>
  <si>
    <t>Fill yellow cell with data</t>
  </si>
  <si>
    <t>Parallel Circuit</t>
  </si>
  <si>
    <t>Symbol</t>
  </si>
  <si>
    <t>L11</t>
  </si>
  <si>
    <t>C11</t>
  </si>
  <si>
    <t>L11A</t>
  </si>
  <si>
    <t>12dB/oct</t>
  </si>
  <si>
    <t>L21</t>
  </si>
  <si>
    <t>C21A</t>
  </si>
  <si>
    <t>C33</t>
  </si>
  <si>
    <t>24dB/oct</t>
  </si>
  <si>
    <t>(Ohm)</t>
  </si>
  <si>
    <t>microF</t>
  </si>
  <si>
    <t>Effective resistance   R=</t>
  </si>
  <si>
    <t>Crossover Frequency(Hz)</t>
  </si>
  <si>
    <r>
      <t>fc</t>
    </r>
    <r>
      <rPr>
        <vertAlign val="subscript"/>
        <sz val="12"/>
        <rFont val="ＭＳ Ｐゴシック"/>
        <family val="3"/>
      </rPr>
      <t>1</t>
    </r>
  </si>
  <si>
    <r>
      <t>fc</t>
    </r>
    <r>
      <rPr>
        <vertAlign val="subscript"/>
        <sz val="12"/>
        <rFont val="ＭＳ Ｐゴシック"/>
        <family val="3"/>
      </rPr>
      <t>2</t>
    </r>
  </si>
  <si>
    <r>
      <t>fc</t>
    </r>
    <r>
      <rPr>
        <vertAlign val="subscript"/>
        <sz val="12"/>
        <rFont val="ＭＳ Ｐゴシック"/>
        <family val="3"/>
      </rPr>
      <t>3</t>
    </r>
  </si>
  <si>
    <t>6dB/oct</t>
  </si>
  <si>
    <t>mH</t>
  </si>
  <si>
    <t>C11A</t>
  </si>
  <si>
    <t>L12A</t>
  </si>
  <si>
    <t>C12A</t>
  </si>
  <si>
    <t>L12</t>
  </si>
  <si>
    <t>C12</t>
  </si>
  <si>
    <t>L13</t>
  </si>
  <si>
    <t>C13</t>
  </si>
  <si>
    <t>C21</t>
  </si>
  <si>
    <t>L21A</t>
  </si>
  <si>
    <t>L22A</t>
  </si>
  <si>
    <t>C22A</t>
  </si>
  <si>
    <t>L22</t>
  </si>
  <si>
    <t>C22</t>
  </si>
  <si>
    <t>L23</t>
  </si>
  <si>
    <t>C23</t>
  </si>
  <si>
    <t>L31</t>
  </si>
  <si>
    <t>C31</t>
  </si>
  <si>
    <t>L32</t>
  </si>
  <si>
    <t>Series Circuit</t>
  </si>
  <si>
    <t>C32</t>
  </si>
  <si>
    <t>L33</t>
  </si>
  <si>
    <t>18dB/oct</t>
  </si>
  <si>
    <t>L41</t>
  </si>
  <si>
    <t>L42</t>
  </si>
  <si>
    <t>L43</t>
  </si>
  <si>
    <t>C41</t>
  </si>
  <si>
    <t>C42</t>
  </si>
  <si>
    <t>C43</t>
  </si>
  <si>
    <t>L43A</t>
  </si>
  <si>
    <t>L44A</t>
  </si>
  <si>
    <t>L45A</t>
  </si>
  <si>
    <t>C42A</t>
  </si>
  <si>
    <t>C43A</t>
  </si>
  <si>
    <t>C44A</t>
  </si>
  <si>
    <t>L46</t>
  </si>
  <si>
    <t>C45</t>
  </si>
  <si>
    <t>C46</t>
  </si>
  <si>
    <t>L51</t>
  </si>
  <si>
    <t>L52</t>
  </si>
  <si>
    <t>L53</t>
  </si>
  <si>
    <t>L54</t>
  </si>
  <si>
    <t>C51</t>
  </si>
  <si>
    <t>C52</t>
  </si>
  <si>
    <t>C53</t>
  </si>
  <si>
    <t>C54</t>
  </si>
  <si>
    <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</t>
    </r>
  </si>
  <si>
    <r>
      <t>1/(2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R)</t>
    </r>
  </si>
  <si>
    <r>
      <t>1/(4</t>
    </r>
    <r>
      <rPr>
        <sz val="11"/>
        <rFont val="ＭＳ Ｐゴシック"/>
        <family val="0"/>
      </rPr>
      <t>PI()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C12A)</t>
    </r>
  </si>
  <si>
    <r>
      <t>1/(4</t>
    </r>
    <r>
      <rPr>
        <sz val="11"/>
        <rFont val="ＭＳ Ｐゴシック"/>
        <family val="0"/>
      </rPr>
      <t>PI()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L12A)</t>
    </r>
  </si>
  <si>
    <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(fc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-fc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))</t>
    </r>
  </si>
  <si>
    <r>
      <t>1/(2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(fc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-fc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)R)</t>
    </r>
  </si>
  <si>
    <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)</t>
    </r>
  </si>
  <si>
    <r>
      <t>1/(2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R)</t>
    </r>
  </si>
  <si>
    <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</si>
  <si>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r>
      <t>1/(2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R)</t>
    </r>
  </si>
  <si>
    <r>
      <t>1/(2</t>
    </r>
    <r>
      <rPr>
        <vertAlign val="superscript"/>
        <sz val="11"/>
        <rFont val="ＭＳ Ｐゴシック"/>
        <family val="3"/>
      </rPr>
      <t>1.5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R)</t>
    </r>
  </si>
  <si>
    <r>
      <t>1/(4</t>
    </r>
    <r>
      <rPr>
        <sz val="11"/>
        <rFont val="ＭＳ Ｐゴシック"/>
        <family val="0"/>
      </rPr>
      <t>PI()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C22A)</t>
    </r>
  </si>
  <si>
    <r>
      <t>1/(4</t>
    </r>
    <r>
      <rPr>
        <sz val="11"/>
        <rFont val="ＭＳ Ｐゴシック"/>
        <family val="0"/>
      </rPr>
      <t>PI()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L22A)</t>
    </r>
  </si>
  <si>
    <r>
      <t>R/(2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</t>
    </r>
  </si>
  <si>
    <r>
      <t>R/(2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(fc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-fc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))</t>
    </r>
  </si>
  <si>
    <r>
      <t>1/(2</t>
    </r>
    <r>
      <rPr>
        <vertAlign val="superscript"/>
        <sz val="11"/>
        <rFont val="ＭＳ Ｐゴシック"/>
        <family val="3"/>
      </rPr>
      <t>1.5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(fc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-fc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)R)</t>
    </r>
  </si>
  <si>
    <r>
      <t>1/(2</t>
    </r>
    <r>
      <rPr>
        <vertAlign val="superscript"/>
        <sz val="11"/>
        <rFont val="ＭＳ Ｐゴシック"/>
        <family val="3"/>
      </rPr>
      <t>1.5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R)</t>
    </r>
  </si>
  <si>
    <r>
      <t>R/(2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</si>
  <si>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r>
      <t>1/(2</t>
    </r>
    <r>
      <rPr>
        <vertAlign val="superscript"/>
        <sz val="11"/>
        <rFont val="ＭＳ Ｐゴシック"/>
        <family val="3"/>
      </rPr>
      <t>1.5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R)</t>
    </r>
  </si>
  <si>
    <r>
      <t>R/(2</t>
    </r>
    <r>
      <rPr>
        <vertAlign val="superscript"/>
        <sz val="11"/>
        <rFont val="ＭＳ Ｐゴシック"/>
        <family val="3"/>
      </rPr>
      <t>1.5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</t>
    </r>
  </si>
  <si>
    <r>
      <t>1/(2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R)</t>
    </r>
  </si>
  <si>
    <r>
      <t>R/(2</t>
    </r>
    <r>
      <rPr>
        <vertAlign val="superscript"/>
        <sz val="11"/>
        <rFont val="ＭＳ Ｐゴシック"/>
        <family val="3"/>
      </rPr>
      <t>1.5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)</t>
    </r>
  </si>
  <si>
    <r>
      <t>1/(2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R)</t>
    </r>
  </si>
  <si>
    <r>
      <t>R/(2</t>
    </r>
    <r>
      <rPr>
        <vertAlign val="superscript"/>
        <sz val="11"/>
        <rFont val="ＭＳ Ｐゴシック"/>
        <family val="3"/>
      </rPr>
      <t>1.5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</si>
  <si>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r>
      <t>1/(2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R)</t>
    </r>
  </si>
  <si>
    <r>
      <t>3/2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</t>
    </r>
  </si>
  <si>
    <r>
      <t>1/2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</t>
    </r>
  </si>
  <si>
    <r>
      <t>3/4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</t>
    </r>
  </si>
  <si>
    <r>
      <t>4/3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0"/>
      </rPr>
      <t>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R)</t>
    </r>
  </si>
  <si>
    <r>
      <t>2/3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0"/>
      </rPr>
      <t>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R)</t>
    </r>
  </si>
  <si>
    <r>
      <t>2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0"/>
      </rPr>
      <t>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R)</t>
    </r>
  </si>
  <si>
    <r>
      <t>1/(4</t>
    </r>
    <r>
      <rPr>
        <sz val="11"/>
        <rFont val="ＭＳ Ｐゴシック"/>
        <family val="0"/>
      </rPr>
      <t>PI()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C44A)</t>
    </r>
  </si>
  <si>
    <r>
      <t>3/2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(fc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-fc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))</t>
    </r>
  </si>
  <si>
    <r>
      <t>1/2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(fc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-fc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))</t>
    </r>
  </si>
  <si>
    <r>
      <t>1/(4</t>
    </r>
    <r>
      <rPr>
        <sz val="11"/>
        <rFont val="ＭＳ Ｐゴシック"/>
        <family val="0"/>
      </rPr>
      <t>PI()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L43A)</t>
    </r>
  </si>
  <si>
    <r>
      <t>1/(4</t>
    </r>
    <r>
      <rPr>
        <sz val="11"/>
        <rFont val="ＭＳ Ｐゴシック"/>
        <family val="0"/>
      </rPr>
      <t>PI()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L44A)</t>
    </r>
  </si>
  <si>
    <r>
      <t>4/3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0"/>
      </rPr>
      <t>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(fc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-fc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)R)</t>
    </r>
  </si>
  <si>
    <r>
      <t>4/5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</t>
    </r>
  </si>
  <si>
    <r>
      <t>7/2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)</t>
    </r>
  </si>
  <si>
    <r>
      <t>5/4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0"/>
      </rPr>
      <t>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R)</t>
    </r>
  </si>
  <si>
    <r>
      <t>2/7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0"/>
      </rPr>
      <t>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R)</t>
    </r>
  </si>
  <si>
    <r>
      <t>R/(2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)</t>
    </r>
  </si>
  <si>
    <r>
      <t>3/4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R/(2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)</t>
    </r>
  </si>
  <si>
    <r>
      <t>2/3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0"/>
      </rPr>
      <t>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R)</t>
    </r>
  </si>
  <si>
    <r>
      <t>2</t>
    </r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0"/>
      </rPr>
      <t>/(2</t>
    </r>
    <r>
      <rPr>
        <sz val="11"/>
        <rFont val="ＭＳ Ｐゴシック"/>
        <family val="0"/>
      </rPr>
      <t>PI()</t>
    </r>
    <r>
      <rPr>
        <sz val="11"/>
        <rFont val="ＭＳ Ｐゴシック"/>
        <family val="0"/>
      </rPr>
      <t>fc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R)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</si>
</sst>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_);[Red]\(0.000\)"/>
    <numFmt numFmtId="180" formatCode="0.0000_ "/>
    <numFmt numFmtId="181" formatCode="0_);[Red]\(0\)"/>
    <numFmt numFmtId="182" formatCode="0_ "/>
    <numFmt numFmtId="183" formatCode="0.000000_ "/>
    <numFmt numFmtId="184" formatCode="0.00000_ "/>
    <numFmt numFmtId="185" formatCode="0.0000000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hidden="1"/>
    </xf>
    <xf numFmtId="49" fontId="0" fillId="0" borderId="3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0" fontId="0" fillId="0" borderId="4" xfId="0" applyFont="1" applyBorder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right" vertical="center"/>
      <protection hidden="1"/>
    </xf>
    <xf numFmtId="176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177" fontId="0" fillId="0" borderId="1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  <protection hidden="1"/>
    </xf>
    <xf numFmtId="0" fontId="0" fillId="0" borderId="2" xfId="0" applyFont="1" applyBorder="1" applyAlignment="1">
      <alignment horizontal="center" vertical="center" shrinkToFit="1"/>
    </xf>
    <xf numFmtId="0" fontId="0" fillId="2" borderId="4" xfId="0" applyFont="1" applyFill="1" applyBorder="1" applyAlignment="1" applyProtection="1">
      <alignment vertical="center" shrinkToFit="1"/>
      <protection locked="0"/>
    </xf>
    <xf numFmtId="0" fontId="0" fillId="2" borderId="7" xfId="0" applyFont="1" applyFill="1" applyBorder="1" applyAlignment="1" applyProtection="1">
      <alignment vertical="center" shrinkToFit="1"/>
      <protection locked="0"/>
    </xf>
    <xf numFmtId="0" fontId="0" fillId="2" borderId="3" xfId="0" applyFont="1" applyFill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2" borderId="4" xfId="0" applyFont="1" applyFill="1" applyBorder="1" applyAlignment="1" applyProtection="1">
      <alignment horizontal="right" vertical="center" shrinkToFit="1"/>
      <protection locked="0"/>
    </xf>
    <xf numFmtId="0" fontId="0" fillId="0" borderId="7" xfId="0" applyFont="1" applyBorder="1" applyAlignment="1" applyProtection="1">
      <alignment horizontal="right" vertical="center" shrinkToFit="1"/>
      <protection locked="0"/>
    </xf>
    <xf numFmtId="0" fontId="0" fillId="0" borderId="3" xfId="0" applyFont="1" applyBorder="1" applyAlignment="1" applyProtection="1">
      <alignment horizontal="right" vertical="center" shrinkToFit="1"/>
      <protection locked="0"/>
    </xf>
    <xf numFmtId="0" fontId="0" fillId="2" borderId="4" xfId="0" applyFont="1" applyFill="1" applyBorder="1" applyAlignment="1" applyProtection="1">
      <alignment horizontal="right" vertical="center"/>
      <protection locked="0"/>
    </xf>
    <xf numFmtId="0" fontId="0" fillId="2" borderId="3" xfId="0" applyFont="1" applyFill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center" shrinkToFit="1"/>
      <protection hidden="1"/>
    </xf>
    <xf numFmtId="0" fontId="0" fillId="0" borderId="7" xfId="0" applyFont="1" applyBorder="1" applyAlignment="1" applyProtection="1">
      <alignment horizontal="center" shrinkToFit="1"/>
      <protection hidden="1"/>
    </xf>
    <xf numFmtId="0" fontId="0" fillId="2" borderId="7" xfId="0" applyFont="1" applyFill="1" applyBorder="1" applyAlignment="1" applyProtection="1">
      <alignment horizontal="right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hidden="1"/>
    </xf>
    <xf numFmtId="0" fontId="0" fillId="0" borderId="7" xfId="0" applyFont="1" applyBorder="1" applyAlignment="1" applyProtection="1">
      <alignment horizontal="center" vertical="center" shrinkToFit="1"/>
      <protection hidden="1"/>
    </xf>
    <xf numFmtId="0" fontId="0" fillId="0" borderId="3" xfId="0" applyFont="1" applyBorder="1" applyAlignment="1" applyProtection="1">
      <alignment horizontal="center" vertical="center" shrinkToFit="1"/>
      <protection hidden="1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center" vertical="center" shrinkToFit="1"/>
      <protection hidden="1"/>
    </xf>
    <xf numFmtId="0" fontId="0" fillId="0" borderId="7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>
      <alignment horizontal="center" shrinkToFit="1"/>
    </xf>
    <xf numFmtId="0" fontId="0" fillId="0" borderId="3" xfId="0" applyFont="1" applyBorder="1" applyAlignment="1" applyProtection="1">
      <alignment horizontal="center" vertical="center" shrinkToFit="1"/>
      <protection hidden="1"/>
    </xf>
    <xf numFmtId="0" fontId="0" fillId="0" borderId="5" xfId="0" applyFont="1" applyBorder="1" applyAlignment="1" applyProtection="1">
      <alignment horizontal="center" vertical="center" shrinkToFit="1"/>
      <protection hidden="1"/>
    </xf>
    <xf numFmtId="0" fontId="0" fillId="0" borderId="6" xfId="0" applyFont="1" applyBorder="1" applyAlignment="1" applyProtection="1">
      <alignment vertical="center" shrinkToFit="1"/>
      <protection hidden="1"/>
    </xf>
    <xf numFmtId="0" fontId="0" fillId="0" borderId="2" xfId="0" applyFont="1" applyBorder="1" applyAlignment="1" applyProtection="1">
      <alignment vertical="center" shrinkToFit="1"/>
      <protection hidden="1"/>
    </xf>
    <xf numFmtId="0" fontId="0" fillId="0" borderId="5" xfId="0" applyFont="1" applyBorder="1" applyAlignment="1" applyProtection="1">
      <alignment horizontal="right" vertical="center" shrinkToFit="1"/>
      <protection hidden="1"/>
    </xf>
    <xf numFmtId="0" fontId="0" fillId="0" borderId="6" xfId="0" applyFont="1" applyBorder="1" applyAlignment="1" applyProtection="1">
      <alignment horizontal="right" vertical="center" shrinkToFit="1"/>
      <protection hidden="1"/>
    </xf>
    <xf numFmtId="0" fontId="0" fillId="0" borderId="6" xfId="0" applyFont="1" applyBorder="1" applyAlignment="1" applyProtection="1">
      <alignment shrinkToFit="1"/>
      <protection hidden="1"/>
    </xf>
    <xf numFmtId="0" fontId="0" fillId="0" borderId="2" xfId="0" applyFont="1" applyBorder="1" applyAlignment="1" applyProtection="1">
      <alignment shrinkToFit="1"/>
      <protection hidden="1"/>
    </xf>
    <xf numFmtId="0" fontId="0" fillId="0" borderId="7" xfId="0" applyFont="1" applyBorder="1" applyAlignment="1" applyProtection="1">
      <alignment horizontal="center" vertical="top" shrinkToFit="1"/>
      <protection hidden="1"/>
    </xf>
    <xf numFmtId="0" fontId="0" fillId="0" borderId="3" xfId="0" applyFont="1" applyBorder="1" applyAlignment="1" applyProtection="1">
      <alignment horizontal="center" vertical="top" shrinkToFit="1"/>
      <protection hidden="1"/>
    </xf>
    <xf numFmtId="0" fontId="0" fillId="0" borderId="3" xfId="0" applyFont="1" applyBorder="1" applyAlignment="1" applyProtection="1">
      <alignment horizontal="center" shrinkToFit="1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125" style="0" customWidth="1"/>
    <col min="3" max="3" width="18.625" style="0" customWidth="1"/>
    <col min="7" max="7" width="13.50390625" style="0" customWidth="1"/>
  </cols>
  <sheetData>
    <row r="1" spans="1:8" ht="20.25" customHeight="1">
      <c r="A1" s="13" t="s">
        <v>0</v>
      </c>
      <c r="B1" s="14"/>
      <c r="C1" s="14"/>
      <c r="D1" s="14"/>
      <c r="E1" s="14"/>
      <c r="F1" s="14"/>
      <c r="G1" s="15" t="s">
        <v>7</v>
      </c>
      <c r="H1" s="16"/>
    </row>
    <row r="2" spans="1:13" ht="15" customHeight="1">
      <c r="A2" s="33" t="s">
        <v>1</v>
      </c>
      <c r="B2" s="33" t="s">
        <v>9</v>
      </c>
      <c r="C2" s="33" t="s">
        <v>3</v>
      </c>
      <c r="D2" s="40" t="s">
        <v>20</v>
      </c>
      <c r="E2" s="41"/>
      <c r="F2" s="42"/>
      <c r="G2" s="1">
        <v>6</v>
      </c>
      <c r="H2" s="2" t="s">
        <v>18</v>
      </c>
      <c r="J2" s="35"/>
      <c r="K2" s="35"/>
      <c r="L2" s="35"/>
      <c r="M2" s="35"/>
    </row>
    <row r="3" spans="1:8" ht="15" customHeight="1">
      <c r="A3" s="34"/>
      <c r="B3" s="34"/>
      <c r="C3" s="34"/>
      <c r="D3" s="37" t="s">
        <v>21</v>
      </c>
      <c r="E3" s="38"/>
      <c r="F3" s="39"/>
      <c r="G3" s="37" t="s">
        <v>4</v>
      </c>
      <c r="H3" s="43"/>
    </row>
    <row r="4" spans="1:8" ht="15" customHeight="1">
      <c r="A4" s="3" t="s">
        <v>2</v>
      </c>
      <c r="B4" s="36"/>
      <c r="C4" s="36"/>
      <c r="D4" s="4" t="s">
        <v>22</v>
      </c>
      <c r="E4" s="4" t="s">
        <v>23</v>
      </c>
      <c r="F4" s="4" t="s">
        <v>24</v>
      </c>
      <c r="G4" s="5" t="s">
        <v>5</v>
      </c>
      <c r="H4" s="5" t="s">
        <v>6</v>
      </c>
    </row>
    <row r="5" spans="1:8" ht="15" customHeight="1">
      <c r="A5" s="29" t="s">
        <v>25</v>
      </c>
      <c r="B5" s="6" t="s">
        <v>10</v>
      </c>
      <c r="C5" s="6" t="s">
        <v>72</v>
      </c>
      <c r="D5" s="21">
        <v>500</v>
      </c>
      <c r="E5" s="7"/>
      <c r="F5" s="7"/>
      <c r="G5" s="8">
        <f>IF($D$5=0,"",$G$2*1000/(2*PI()*$D$5))</f>
        <v>1.9098593171027443</v>
      </c>
      <c r="H5" s="5" t="s">
        <v>26</v>
      </c>
    </row>
    <row r="6" spans="1:8" ht="15" customHeight="1">
      <c r="A6" s="30"/>
      <c r="B6" s="6" t="s">
        <v>11</v>
      </c>
      <c r="C6" s="6" t="s">
        <v>73</v>
      </c>
      <c r="D6" s="28"/>
      <c r="E6" s="7"/>
      <c r="F6" s="7"/>
      <c r="G6" s="8">
        <f>IF($D$5=0,"",10^6/(2*PI()*$D$5*$G$2))</f>
        <v>53.05164769729845</v>
      </c>
      <c r="H6" s="5" t="s">
        <v>19</v>
      </c>
    </row>
    <row r="7" spans="1:8" ht="15" customHeight="1">
      <c r="A7" s="30"/>
      <c r="B7" s="6" t="s">
        <v>12</v>
      </c>
      <c r="C7" s="6" t="s">
        <v>74</v>
      </c>
      <c r="D7" s="22"/>
      <c r="E7" s="21">
        <v>4000</v>
      </c>
      <c r="F7" s="7"/>
      <c r="G7" s="8">
        <f>IF($D$5=0,"",IF($E$7=0,"",10^3/((2*PI())^2*D$5*E$7*G$10*10^(-6))))</f>
        <v>1.6711269024649007</v>
      </c>
      <c r="H7" s="5" t="s">
        <v>26</v>
      </c>
    </row>
    <row r="8" spans="1:8" ht="15" customHeight="1">
      <c r="A8" s="30"/>
      <c r="B8" s="6" t="s">
        <v>27</v>
      </c>
      <c r="C8" s="6" t="s">
        <v>75</v>
      </c>
      <c r="D8" s="22"/>
      <c r="E8" s="22"/>
      <c r="F8" s="7"/>
      <c r="G8" s="8">
        <f>IF($D$5=0,"",IF($E$7=0,"",10^6/((2*PI())^2*D$5*E$7*G$9*10^(-3))))</f>
        <v>46.42019173513613</v>
      </c>
      <c r="H8" s="5" t="s">
        <v>19</v>
      </c>
    </row>
    <row r="9" spans="1:8" ht="15" customHeight="1">
      <c r="A9" s="30"/>
      <c r="B9" s="6" t="s">
        <v>28</v>
      </c>
      <c r="C9" s="6" t="s">
        <v>76</v>
      </c>
      <c r="D9" s="22"/>
      <c r="E9" s="22"/>
      <c r="F9" s="7"/>
      <c r="G9" s="8">
        <f>IF($D$5=0,"",IF($E$7=0,"",$G$2*1000/(2*PI()*($E$7-$D$5))))</f>
        <v>0.27283704530039204</v>
      </c>
      <c r="H9" s="5" t="s">
        <v>26</v>
      </c>
    </row>
    <row r="10" spans="1:8" ht="15" customHeight="1">
      <c r="A10" s="30"/>
      <c r="B10" s="6" t="s">
        <v>29</v>
      </c>
      <c r="C10" s="6" t="s">
        <v>77</v>
      </c>
      <c r="D10" s="23"/>
      <c r="E10" s="22"/>
      <c r="F10" s="7"/>
      <c r="G10" s="8">
        <f>IF($D$5=0,"",IF($E$7=0,"",10^6/(2*PI()*($E$7-$D$5)*$G$2)))</f>
        <v>7.578806813899779</v>
      </c>
      <c r="H10" s="5" t="s">
        <v>19</v>
      </c>
    </row>
    <row r="11" spans="1:8" ht="15" customHeight="1">
      <c r="A11" s="30"/>
      <c r="B11" s="6" t="s">
        <v>30</v>
      </c>
      <c r="C11" s="6" t="s">
        <v>78</v>
      </c>
      <c r="D11" s="7"/>
      <c r="E11" s="22"/>
      <c r="F11" s="7"/>
      <c r="G11" s="8">
        <f>IF($E$7=0,"",$G$2*1000/(2*PI()*$E$7))</f>
        <v>0.23873241463784303</v>
      </c>
      <c r="H11" s="5" t="s">
        <v>26</v>
      </c>
    </row>
    <row r="12" spans="1:8" ht="15" customHeight="1">
      <c r="A12" s="30"/>
      <c r="B12" s="6" t="s">
        <v>31</v>
      </c>
      <c r="C12" s="6" t="s">
        <v>79</v>
      </c>
      <c r="D12" s="7"/>
      <c r="E12" s="23"/>
      <c r="F12" s="9"/>
      <c r="G12" s="8">
        <f>IF($E$7=0,"",10^6/(2*PI()*$E$7*$G$2))</f>
        <v>6.631455962162306</v>
      </c>
      <c r="H12" s="5" t="s">
        <v>19</v>
      </c>
    </row>
    <row r="13" spans="1:8" ht="15" customHeight="1">
      <c r="A13" s="30"/>
      <c r="B13" s="6" t="s">
        <v>32</v>
      </c>
      <c r="C13" s="6" t="s">
        <v>80</v>
      </c>
      <c r="D13" s="7"/>
      <c r="E13" s="7"/>
      <c r="F13" s="24"/>
      <c r="G13" s="8">
        <f>IF($F$13=0,"",$G$2*1000/(2*PI()*$F$13))</f>
      </c>
      <c r="H13" s="5" t="s">
        <v>26</v>
      </c>
    </row>
    <row r="14" spans="1:8" ht="15" customHeight="1">
      <c r="A14" s="31"/>
      <c r="B14" s="6" t="s">
        <v>33</v>
      </c>
      <c r="C14" s="6" t="s">
        <v>81</v>
      </c>
      <c r="D14" s="7"/>
      <c r="E14" s="7"/>
      <c r="F14" s="25"/>
      <c r="G14" s="8">
        <f>IF($F$13=0,"",10^6/(2*PI()*$F$13*$G$2))</f>
      </c>
      <c r="H14" s="5" t="s">
        <v>19</v>
      </c>
    </row>
    <row r="15" spans="1:8" ht="15" customHeight="1">
      <c r="A15" s="26" t="s">
        <v>13</v>
      </c>
      <c r="B15" s="6" t="s">
        <v>14</v>
      </c>
      <c r="C15" s="6" t="s">
        <v>85</v>
      </c>
      <c r="D15" s="21">
        <v>500</v>
      </c>
      <c r="E15" s="7"/>
      <c r="F15" s="7"/>
      <c r="G15" s="8">
        <f>IF($D$15=0,"",2^0.5*$G$2*1000/(2*PI()*D15))</f>
        <v>2.7009489484713187</v>
      </c>
      <c r="H15" s="5" t="s">
        <v>26</v>
      </c>
    </row>
    <row r="16" spans="1:8" ht="15" customHeight="1">
      <c r="A16" s="27"/>
      <c r="B16" s="6" t="s">
        <v>34</v>
      </c>
      <c r="C16" s="6" t="s">
        <v>82</v>
      </c>
      <c r="D16" s="22"/>
      <c r="E16" s="7"/>
      <c r="F16" s="7"/>
      <c r="G16" s="8">
        <f>IF($D$15=0,"",10^6/(2*2^0.5*PI()*$D$15*$G$2))</f>
        <v>37.51317983987942</v>
      </c>
      <c r="H16" s="5" t="s">
        <v>19</v>
      </c>
    </row>
    <row r="17" spans="1:8" ht="15" customHeight="1">
      <c r="A17" s="27"/>
      <c r="B17" s="6" t="s">
        <v>35</v>
      </c>
      <c r="C17" s="6" t="s">
        <v>83</v>
      </c>
      <c r="D17" s="22"/>
      <c r="E17" s="21">
        <v>4000</v>
      </c>
      <c r="F17" s="7"/>
      <c r="G17" s="8">
        <f>IF($D$15=0,"",IF($E$17=0,"",10^3/((2*PI())^2*D$15*E$17*G$20*10^(-6))))</f>
        <v>2.363330329912404</v>
      </c>
      <c r="H17" s="5" t="s">
        <v>26</v>
      </c>
    </row>
    <row r="18" spans="1:8" ht="15" customHeight="1">
      <c r="A18" s="27"/>
      <c r="B18" s="6" t="s">
        <v>15</v>
      </c>
      <c r="C18" s="6" t="s">
        <v>84</v>
      </c>
      <c r="D18" s="22"/>
      <c r="E18" s="22"/>
      <c r="F18" s="7"/>
      <c r="G18" s="8">
        <f>IF($D$15=0,"",IF($E$17=0,"",10^6/((2*PI())^2*D$15*E$17*G$19*10^(-3))))</f>
        <v>32.82403235989449</v>
      </c>
      <c r="H18" s="5" t="s">
        <v>19</v>
      </c>
    </row>
    <row r="19" spans="1:8" ht="15" customHeight="1">
      <c r="A19" s="27"/>
      <c r="B19" s="6" t="s">
        <v>36</v>
      </c>
      <c r="C19" s="6" t="s">
        <v>86</v>
      </c>
      <c r="D19" s="22"/>
      <c r="E19" s="22"/>
      <c r="F19" s="7"/>
      <c r="G19" s="8">
        <f>IF($D$15=0,"",IF($E$17=0,"",$G$2*1000/(2^0.5*PI()*($E$17-$D$15))))</f>
        <v>0.3858498497816169</v>
      </c>
      <c r="H19" s="5" t="s">
        <v>26</v>
      </c>
    </row>
    <row r="20" spans="1:8" ht="15" customHeight="1">
      <c r="A20" s="44" t="s">
        <v>8</v>
      </c>
      <c r="B20" s="5" t="s">
        <v>37</v>
      </c>
      <c r="C20" s="6" t="s">
        <v>87</v>
      </c>
      <c r="D20" s="23"/>
      <c r="E20" s="22"/>
      <c r="F20" s="7"/>
      <c r="G20" s="8">
        <f>IF($D$15=0,"",IF($E$17=0,"",10^6/(2^1.5*PI()*($E$17-$D$15)*$G$2)))</f>
        <v>5.359025691411345</v>
      </c>
      <c r="H20" s="5" t="s">
        <v>19</v>
      </c>
    </row>
    <row r="21" spans="1:8" ht="15" customHeight="1">
      <c r="A21" s="27"/>
      <c r="B21" s="6" t="s">
        <v>38</v>
      </c>
      <c r="C21" s="6" t="s">
        <v>113</v>
      </c>
      <c r="D21" s="7"/>
      <c r="E21" s="22"/>
      <c r="F21" s="7"/>
      <c r="G21" s="8">
        <f>IF($E$17=0,"",2^0.5*$G$2*1000/(2*PI()*$E$17))</f>
        <v>0.33761861855891484</v>
      </c>
      <c r="H21" s="5" t="s">
        <v>26</v>
      </c>
    </row>
    <row r="22" spans="1:8" ht="15" customHeight="1">
      <c r="A22" s="27"/>
      <c r="B22" s="5" t="s">
        <v>39</v>
      </c>
      <c r="C22" s="5" t="s">
        <v>88</v>
      </c>
      <c r="D22" s="7"/>
      <c r="E22" s="23"/>
      <c r="F22" s="7"/>
      <c r="G22" s="8">
        <f>IF($E$17=0,"",10^6/(2*2^0.5*PI()*$E$17*$G$2))</f>
        <v>4.6891474799849275</v>
      </c>
      <c r="H22" s="5" t="s">
        <v>19</v>
      </c>
    </row>
    <row r="23" spans="1:8" ht="15" customHeight="1">
      <c r="A23" s="27"/>
      <c r="B23" s="6" t="s">
        <v>40</v>
      </c>
      <c r="C23" s="6" t="s">
        <v>89</v>
      </c>
      <c r="D23" s="7"/>
      <c r="E23" s="7"/>
      <c r="F23" s="24"/>
      <c r="G23" s="8">
        <f>IF($F$23=0,"",2^0.5*$G$2*1000/(2*PI()*$F$23))</f>
      </c>
      <c r="H23" s="5" t="s">
        <v>26</v>
      </c>
    </row>
    <row r="24" spans="1:8" ht="15" customHeight="1">
      <c r="A24" s="46"/>
      <c r="B24" s="6" t="s">
        <v>41</v>
      </c>
      <c r="C24" s="6" t="s">
        <v>90</v>
      </c>
      <c r="D24" s="7"/>
      <c r="E24" s="7"/>
      <c r="F24" s="32"/>
      <c r="G24" s="8">
        <f>IF($F$23=0,"",10^6/(2*2^0.5*PI()*$F$23*$G$2))</f>
      </c>
      <c r="H24" s="5" t="s">
        <v>19</v>
      </c>
    </row>
    <row r="25" spans="1:8" ht="15" customHeight="1">
      <c r="A25" s="26" t="s">
        <v>13</v>
      </c>
      <c r="B25" s="6" t="s">
        <v>42</v>
      </c>
      <c r="C25" s="6" t="s">
        <v>91</v>
      </c>
      <c r="D25" s="21">
        <v>500</v>
      </c>
      <c r="E25" s="7"/>
      <c r="F25" s="7"/>
      <c r="G25" s="8">
        <f>IF($D$25=0,"",$G$2*1000/(2*2^0.5*PI()*$D$25))</f>
        <v>1.3504744742356591</v>
      </c>
      <c r="H25" s="5" t="s">
        <v>26</v>
      </c>
    </row>
    <row r="26" spans="1:8" ht="15" customHeight="1">
      <c r="A26" s="27"/>
      <c r="B26" s="6" t="s">
        <v>43</v>
      </c>
      <c r="C26" s="6" t="s">
        <v>92</v>
      </c>
      <c r="D26" s="23"/>
      <c r="E26" s="7"/>
      <c r="F26" s="7"/>
      <c r="G26" s="8">
        <f>IF($D$25=0,"",2^0.5*10^6/(2*PI()*$D$25*$G$2))</f>
        <v>75.02635967975885</v>
      </c>
      <c r="H26" s="5" t="s">
        <v>19</v>
      </c>
    </row>
    <row r="27" spans="1:8" ht="15" customHeight="1">
      <c r="A27" s="27"/>
      <c r="B27" s="6" t="s">
        <v>44</v>
      </c>
      <c r="C27" s="6" t="s">
        <v>93</v>
      </c>
      <c r="D27" s="7"/>
      <c r="E27" s="21">
        <v>4000</v>
      </c>
      <c r="F27" s="7"/>
      <c r="G27" s="8">
        <f>IF($E$27=0,"",$G$2*1000/(2*2^0.5*PI()*$E$27))</f>
        <v>0.1688093092794574</v>
      </c>
      <c r="H27" s="5" t="s">
        <v>26</v>
      </c>
    </row>
    <row r="28" spans="1:8" ht="15" customHeight="1">
      <c r="A28" s="44" t="s">
        <v>45</v>
      </c>
      <c r="B28" s="5" t="s">
        <v>46</v>
      </c>
      <c r="C28" s="5" t="s">
        <v>94</v>
      </c>
      <c r="D28" s="7"/>
      <c r="E28" s="23"/>
      <c r="F28" s="7"/>
      <c r="G28" s="8">
        <f>IF($E$27=0,"",2^0.5*10^6/(2*PI()*$E$27*$G$2))</f>
        <v>9.378294959969857</v>
      </c>
      <c r="H28" s="5" t="s">
        <v>19</v>
      </c>
    </row>
    <row r="29" spans="1:8" ht="15" customHeight="1">
      <c r="A29" s="44"/>
      <c r="B29" s="6" t="s">
        <v>47</v>
      </c>
      <c r="C29" s="6" t="s">
        <v>95</v>
      </c>
      <c r="D29" s="7"/>
      <c r="E29" s="7"/>
      <c r="F29" s="21"/>
      <c r="G29" s="8">
        <f>IF($F$29=0,"",$G$2*1000/(2*2^0.5*PI()*$F$29))</f>
      </c>
      <c r="H29" s="5" t="s">
        <v>26</v>
      </c>
    </row>
    <row r="30" spans="1:8" ht="15" customHeight="1">
      <c r="A30" s="45"/>
      <c r="B30" s="5" t="s">
        <v>16</v>
      </c>
      <c r="C30" s="5" t="s">
        <v>96</v>
      </c>
      <c r="D30" s="7"/>
      <c r="E30" s="7"/>
      <c r="F30" s="23"/>
      <c r="G30" s="8">
        <f>IF($F$29=0,"",2^0.5*10^6/(2*PI()*$F$29*$G$2))</f>
      </c>
      <c r="H30" s="5" t="s">
        <v>19</v>
      </c>
    </row>
    <row r="31" spans="1:8" ht="15" customHeight="1">
      <c r="A31" s="29" t="s">
        <v>48</v>
      </c>
      <c r="B31" s="10" t="s">
        <v>49</v>
      </c>
      <c r="C31" s="5" t="s">
        <v>97</v>
      </c>
      <c r="D31" s="17">
        <v>500</v>
      </c>
      <c r="E31" s="11"/>
      <c r="F31" s="11"/>
      <c r="G31" s="12">
        <f>IF($D$31=0,"",1.5*10^3*$G$2/(2*PI()*$D$31))</f>
        <v>2.8647889756541165</v>
      </c>
      <c r="H31" s="5" t="s">
        <v>26</v>
      </c>
    </row>
    <row r="32" spans="1:8" ht="15" customHeight="1">
      <c r="A32" s="30"/>
      <c r="B32" s="10" t="s">
        <v>50</v>
      </c>
      <c r="C32" s="5" t="s">
        <v>98</v>
      </c>
      <c r="D32" s="20"/>
      <c r="E32" s="11"/>
      <c r="F32" s="11"/>
      <c r="G32" s="12">
        <f>IF($D$31=0,"",0.5*10^3*$G$2/(2*PI()*$D$31))</f>
        <v>0.9549296585513721</v>
      </c>
      <c r="H32" s="5" t="s">
        <v>26</v>
      </c>
    </row>
    <row r="33" spans="1:8" ht="15" customHeight="1">
      <c r="A33" s="30"/>
      <c r="B33" s="10" t="s">
        <v>51</v>
      </c>
      <c r="C33" s="5" t="s">
        <v>99</v>
      </c>
      <c r="D33" s="20"/>
      <c r="E33" s="11"/>
      <c r="F33" s="11"/>
      <c r="G33" s="12">
        <f>IF($D$31=0,"",3/4*10^3*$G$2/(2*PI()*$D$31))</f>
        <v>1.4323944878270582</v>
      </c>
      <c r="H33" s="5" t="s">
        <v>26</v>
      </c>
    </row>
    <row r="34" spans="1:8" ht="15" customHeight="1">
      <c r="A34" s="30"/>
      <c r="B34" s="10" t="s">
        <v>52</v>
      </c>
      <c r="C34" s="5" t="s">
        <v>100</v>
      </c>
      <c r="D34" s="20"/>
      <c r="E34" s="11"/>
      <c r="F34" s="11"/>
      <c r="G34" s="12">
        <f>IF($D$31=0,"",4/3*10^6/(2*PI()*$D$31*$G$2))</f>
        <v>70.73553026306459</v>
      </c>
      <c r="H34" s="5" t="s">
        <v>19</v>
      </c>
    </row>
    <row r="35" spans="1:8" ht="15" customHeight="1">
      <c r="A35" s="30"/>
      <c r="B35" s="10" t="s">
        <v>53</v>
      </c>
      <c r="C35" s="5" t="s">
        <v>101</v>
      </c>
      <c r="D35" s="20"/>
      <c r="E35" s="11"/>
      <c r="F35" s="11"/>
      <c r="G35" s="12">
        <f>IF($D$31=0,"",2/3*10^6/(2*PI()*$D$31*$G$2))</f>
        <v>35.367765131532295</v>
      </c>
      <c r="H35" s="5" t="s">
        <v>19</v>
      </c>
    </row>
    <row r="36" spans="1:8" ht="15" customHeight="1">
      <c r="A36" s="30"/>
      <c r="B36" s="10" t="s">
        <v>54</v>
      </c>
      <c r="C36" s="5" t="s">
        <v>102</v>
      </c>
      <c r="D36" s="20"/>
      <c r="E36" s="11"/>
      <c r="F36" s="11"/>
      <c r="G36" s="12">
        <f>IF($D$31=0,"",2*10^6/(2*PI()*$D$31*$G$2))</f>
        <v>106.1032953945969</v>
      </c>
      <c r="H36" s="5" t="s">
        <v>19</v>
      </c>
    </row>
    <row r="37" spans="1:8" ht="15" customHeight="1">
      <c r="A37" s="30"/>
      <c r="B37" s="10" t="s">
        <v>55</v>
      </c>
      <c r="C37" s="6" t="s">
        <v>103</v>
      </c>
      <c r="D37" s="20"/>
      <c r="E37" s="17">
        <v>4000</v>
      </c>
      <c r="F37" s="11"/>
      <c r="G37" s="12">
        <f>IF($D$31=0,"",IF($E$37=0,"",10^3/((2*PI())^2*D$31*E$37*G$42*10^(-6))))</f>
        <v>1.2533451768486756</v>
      </c>
      <c r="H37" s="5" t="s">
        <v>26</v>
      </c>
    </row>
    <row r="38" spans="1:8" ht="15" customHeight="1">
      <c r="A38" s="30"/>
      <c r="B38" s="10" t="s">
        <v>56</v>
      </c>
      <c r="C38" s="5" t="s">
        <v>104</v>
      </c>
      <c r="D38" s="20"/>
      <c r="E38" s="18"/>
      <c r="F38" s="11"/>
      <c r="G38" s="12">
        <f>IF($D$31=0,"",1.5*10^3*$G$2/(2*PI()*(E$37-D$31)))</f>
        <v>0.40925556795058804</v>
      </c>
      <c r="H38" s="5" t="s">
        <v>26</v>
      </c>
    </row>
    <row r="39" spans="1:8" ht="15" customHeight="1">
      <c r="A39" s="30"/>
      <c r="B39" s="10" t="s">
        <v>57</v>
      </c>
      <c r="C39" s="5" t="s">
        <v>105</v>
      </c>
      <c r="D39" s="20"/>
      <c r="E39" s="18"/>
      <c r="F39" s="11"/>
      <c r="G39" s="12">
        <f>IF($D$31=0,"",0.5*10^3*$G$2/(2*PI()*(E$37-D$31)))</f>
        <v>0.13641852265019602</v>
      </c>
      <c r="H39" s="5" t="s">
        <v>26</v>
      </c>
    </row>
    <row r="40" spans="1:8" ht="15" customHeight="1">
      <c r="A40" s="30"/>
      <c r="B40" s="10" t="s">
        <v>58</v>
      </c>
      <c r="C40" s="6" t="s">
        <v>106</v>
      </c>
      <c r="D40" s="20"/>
      <c r="E40" s="18"/>
      <c r="F40" s="11"/>
      <c r="G40" s="12">
        <f>IF($D$31=0,"",IF($E$37=0,"",10^6/((2*PI())^2*D$31*E$37*G$38*10^(-3))))</f>
        <v>30.946794490090753</v>
      </c>
      <c r="H40" s="5" t="s">
        <v>19</v>
      </c>
    </row>
    <row r="41" spans="1:8" ht="15" customHeight="1">
      <c r="A41" s="30"/>
      <c r="B41" s="10" t="s">
        <v>59</v>
      </c>
      <c r="C41" s="6" t="s">
        <v>107</v>
      </c>
      <c r="D41" s="20"/>
      <c r="E41" s="18"/>
      <c r="F41" s="11"/>
      <c r="G41" s="12">
        <f>IF($D$31=0,"",IF($E$37=0,"",10^6/((2*PI())^2*D$31*E$37*G$39*10^(-3))))</f>
        <v>92.84038347027226</v>
      </c>
      <c r="H41" s="5" t="s">
        <v>19</v>
      </c>
    </row>
    <row r="42" spans="1:8" ht="15" customHeight="1">
      <c r="A42" s="30"/>
      <c r="B42" s="10" t="s">
        <v>60</v>
      </c>
      <c r="C42" s="5" t="s">
        <v>108</v>
      </c>
      <c r="D42" s="20"/>
      <c r="E42" s="18"/>
      <c r="F42" s="11"/>
      <c r="G42" s="12">
        <f>IF($D$31=0,"",4/3*10^6/(2*PI()*(E$37-D$31)*$G$2))</f>
        <v>10.105075751866371</v>
      </c>
      <c r="H42" s="5" t="s">
        <v>19</v>
      </c>
    </row>
    <row r="43" spans="1:8" ht="15" customHeight="1">
      <c r="A43" s="30"/>
      <c r="B43" s="10" t="s">
        <v>61</v>
      </c>
      <c r="C43" s="5" t="s">
        <v>114</v>
      </c>
      <c r="D43" s="11"/>
      <c r="E43" s="18"/>
      <c r="F43" s="11"/>
      <c r="G43" s="12">
        <f>IF($D$31=0,"",3/4*10^3*$G$2/(2*PI()*$E$37))</f>
        <v>0.17904931097838228</v>
      </c>
      <c r="H43" s="5" t="s">
        <v>26</v>
      </c>
    </row>
    <row r="44" spans="1:8" ht="15" customHeight="1">
      <c r="A44" s="30"/>
      <c r="B44" s="10" t="s">
        <v>62</v>
      </c>
      <c r="C44" s="5" t="s">
        <v>115</v>
      </c>
      <c r="D44" s="11"/>
      <c r="E44" s="18"/>
      <c r="F44" s="11"/>
      <c r="G44" s="12">
        <f>IF($D$31=0,"",2/3*10^6/(2*PI()*$E$37*$G$2))</f>
        <v>4.420970641441537</v>
      </c>
      <c r="H44" s="5" t="s">
        <v>19</v>
      </c>
    </row>
    <row r="45" spans="1:8" ht="15" customHeight="1">
      <c r="A45" s="31"/>
      <c r="B45" s="10" t="s">
        <v>63</v>
      </c>
      <c r="C45" s="5" t="s">
        <v>116</v>
      </c>
      <c r="D45" s="11"/>
      <c r="E45" s="19"/>
      <c r="F45" s="11"/>
      <c r="G45" s="12">
        <f>IF($D$31=0,"",2*10^6/(2*PI()*$E$37*$G$2))</f>
        <v>13.262911924324612</v>
      </c>
      <c r="H45" s="5" t="s">
        <v>19</v>
      </c>
    </row>
    <row r="46" spans="1:8" ht="15" customHeight="1">
      <c r="A46" s="29" t="s">
        <v>17</v>
      </c>
      <c r="B46" s="10" t="s">
        <v>64</v>
      </c>
      <c r="C46" s="5" t="s">
        <v>97</v>
      </c>
      <c r="D46" s="17">
        <v>2000</v>
      </c>
      <c r="E46" s="11"/>
      <c r="F46" s="11"/>
      <c r="G46" s="12">
        <f>IF($D$46=0,"",1.5*10^3*$G$2/(2*PI()*$D$46))</f>
        <v>0.7161972439135291</v>
      </c>
      <c r="H46" s="5" t="s">
        <v>26</v>
      </c>
    </row>
    <row r="47" spans="1:8" ht="15" customHeight="1">
      <c r="A47" s="30"/>
      <c r="B47" s="10" t="s">
        <v>65</v>
      </c>
      <c r="C47" s="5" t="s">
        <v>99</v>
      </c>
      <c r="D47" s="18"/>
      <c r="E47" s="11"/>
      <c r="F47" s="11"/>
      <c r="G47" s="12">
        <f>IF($D$46=0,"",0.75*10^3*$G$2/(2*PI()*$D$46))</f>
        <v>0.35809862195676456</v>
      </c>
      <c r="H47" s="5" t="s">
        <v>26</v>
      </c>
    </row>
    <row r="48" spans="1:8" ht="15" customHeight="1">
      <c r="A48" s="30"/>
      <c r="B48" s="10" t="s">
        <v>66</v>
      </c>
      <c r="C48" s="5" t="s">
        <v>109</v>
      </c>
      <c r="D48" s="18"/>
      <c r="E48" s="11"/>
      <c r="F48" s="11"/>
      <c r="G48" s="12">
        <f>IF($D$46=0,"",4/5*10^3*$G$2/(2*PI()*$D$46))</f>
        <v>0.38197186342054884</v>
      </c>
      <c r="H48" s="5" t="s">
        <v>26</v>
      </c>
    </row>
    <row r="49" spans="1:8" ht="15" customHeight="1">
      <c r="A49" s="30"/>
      <c r="B49" s="10" t="s">
        <v>67</v>
      </c>
      <c r="C49" s="5" t="s">
        <v>110</v>
      </c>
      <c r="D49" s="18"/>
      <c r="E49" s="11"/>
      <c r="F49" s="11"/>
      <c r="G49" s="12">
        <f>IF($D$46=0,"",7/2*10^3*$G$2/(2*PI()*$D$46))</f>
        <v>1.6711269024649011</v>
      </c>
      <c r="H49" s="5" t="s">
        <v>26</v>
      </c>
    </row>
    <row r="50" spans="1:8" ht="15" customHeight="1">
      <c r="A50" s="30"/>
      <c r="B50" s="10" t="s">
        <v>68</v>
      </c>
      <c r="C50" s="5" t="s">
        <v>111</v>
      </c>
      <c r="D50" s="18"/>
      <c r="E50" s="11"/>
      <c r="F50" s="11"/>
      <c r="G50" s="12">
        <f>IF($D$46=0,"",5/4*10^6/(2*PI()*$D$46*$G$2))</f>
        <v>16.578639905405765</v>
      </c>
      <c r="H50" s="5" t="s">
        <v>19</v>
      </c>
    </row>
    <row r="51" spans="1:8" ht="15" customHeight="1">
      <c r="A51" s="30"/>
      <c r="B51" s="10" t="s">
        <v>69</v>
      </c>
      <c r="C51" s="5" t="s">
        <v>112</v>
      </c>
      <c r="D51" s="18"/>
      <c r="E51" s="11"/>
      <c r="F51" s="11"/>
      <c r="G51" s="12">
        <f>IF($D$46=0,"",2/7*10^6/(2*PI()*$D$46*$G$2))</f>
        <v>3.7894034069498885</v>
      </c>
      <c r="H51" s="5" t="s">
        <v>19</v>
      </c>
    </row>
    <row r="52" spans="1:8" ht="15" customHeight="1">
      <c r="A52" s="30"/>
      <c r="B52" s="10" t="s">
        <v>70</v>
      </c>
      <c r="C52" s="5" t="s">
        <v>101</v>
      </c>
      <c r="D52" s="18"/>
      <c r="E52" s="11"/>
      <c r="F52" s="11"/>
      <c r="G52" s="12">
        <f>IF($D$46=0,"",2/3*10^6/(2*PI()*$D$46*$G$2))</f>
        <v>8.841941282883074</v>
      </c>
      <c r="H52" s="5" t="s">
        <v>19</v>
      </c>
    </row>
    <row r="53" spans="1:8" ht="15" customHeight="1">
      <c r="A53" s="31"/>
      <c r="B53" s="10" t="s">
        <v>71</v>
      </c>
      <c r="C53" s="5" t="s">
        <v>100</v>
      </c>
      <c r="D53" s="19"/>
      <c r="E53" s="11"/>
      <c r="F53" s="11"/>
      <c r="G53" s="12">
        <f>IF($D$46=0,"",4/3*10^6/(2*PI()*$D$46*$G$2))</f>
        <v>17.683882565766147</v>
      </c>
      <c r="H53" s="5" t="s">
        <v>19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 password="BF23" sheet="1" objects="1" scenarios="1"/>
  <mergeCells count="28">
    <mergeCell ref="A5:A14"/>
    <mergeCell ref="F29:F30"/>
    <mergeCell ref="A25:A27"/>
    <mergeCell ref="A28:A30"/>
    <mergeCell ref="D25:D26"/>
    <mergeCell ref="E27:E28"/>
    <mergeCell ref="A20:A24"/>
    <mergeCell ref="A2:A3"/>
    <mergeCell ref="J2:M2"/>
    <mergeCell ref="B2:B4"/>
    <mergeCell ref="C2:C4"/>
    <mergeCell ref="D3:F3"/>
    <mergeCell ref="D2:F2"/>
    <mergeCell ref="G3:H3"/>
    <mergeCell ref="A46:A53"/>
    <mergeCell ref="A31:A45"/>
    <mergeCell ref="D46:D53"/>
    <mergeCell ref="F23:F24"/>
    <mergeCell ref="A1:F1"/>
    <mergeCell ref="G1:H1"/>
    <mergeCell ref="E37:E45"/>
    <mergeCell ref="D31:D42"/>
    <mergeCell ref="D15:D20"/>
    <mergeCell ref="E17:E22"/>
    <mergeCell ref="F13:F14"/>
    <mergeCell ref="A15:A19"/>
    <mergeCell ref="D5:D10"/>
    <mergeCell ref="E7:E12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伊東　哲夫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　哲夫</dc:creator>
  <cp:keywords/>
  <dc:description/>
  <cp:lastModifiedBy>伊東　哲夫</cp:lastModifiedBy>
  <dcterms:created xsi:type="dcterms:W3CDTF">2009-02-13T04:32:25Z</dcterms:created>
  <dcterms:modified xsi:type="dcterms:W3CDTF">2009-03-27T06:38:05Z</dcterms:modified>
  <cp:category/>
  <cp:version/>
  <cp:contentType/>
  <cp:contentStatus/>
</cp:coreProperties>
</file>