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9180" activeTab="0"/>
  </bookViews>
  <sheets>
    <sheet name="ImprovementMethod" sheetId="1" r:id="rId1"/>
    <sheet name="6dB3wayType2" sheetId="2" r:id="rId2"/>
    <sheet name="SpeakerCorrection1" sheetId="3" r:id="rId3"/>
  </sheets>
  <definedNames>
    <definedName name="_xlnm.Print_Area" localSheetId="1">'6dB3wayType2'!$A$1:$H$30</definedName>
    <definedName name="_xlnm.Print_Area" localSheetId="2">'SpeakerCorrection1'!$A$1:$H$33</definedName>
  </definedNames>
  <calcPr fullCalcOnLoad="1"/>
</workbook>
</file>

<file path=xl/comments2.xml><?xml version="1.0" encoding="utf-8"?>
<comments xmlns="http://schemas.openxmlformats.org/spreadsheetml/2006/main">
  <authors>
    <author>伊東　哲夫</author>
  </authors>
  <commentList>
    <comment ref="B23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4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5" authorId="0">
      <text>
        <r>
          <rPr>
            <b/>
            <sz val="10"/>
            <rFont val="ＭＳ Ｐゴシック"/>
            <family val="3"/>
          </rPr>
          <t>Attenuator of resistor use flag
1:Use   0 or empty:Not use</t>
        </r>
      </text>
    </comment>
    <comment ref="B26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27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28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29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0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  <comment ref="G16" authorId="0">
      <text>
        <r>
          <rPr>
            <b/>
            <sz val="10"/>
            <rFont val="ＭＳ Ｐゴシック"/>
            <family val="3"/>
          </rPr>
          <t>Select corrective circuit type 1-4.
1:Series  type 6dB/oct
2:Parallel type 6dB/oct
3:Series  type 12dB/oct
4:Parallel type 12dB/oct</t>
        </r>
      </text>
    </comment>
  </commentList>
</comments>
</file>

<file path=xl/comments3.xml><?xml version="1.0" encoding="utf-8"?>
<comments xmlns="http://schemas.openxmlformats.org/spreadsheetml/2006/main">
  <authors>
    <author>伊東　哲夫</author>
  </authors>
  <commentList>
    <comment ref="B19" authorId="0">
      <text>
        <r>
          <rPr>
            <b/>
            <sz val="10"/>
            <rFont val="ＭＳ Ｐゴシック"/>
            <family val="3"/>
          </rPr>
          <t>After correction, speaker may be suitable to be connected reverse because phase changes greatly.  
Connection order   :0
Connection reverse:1</t>
        </r>
      </text>
    </comment>
    <comment ref="B26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7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8" authorId="0">
      <text>
        <r>
          <rPr>
            <b/>
            <sz val="10"/>
            <rFont val="ＭＳ Ｐゴシック"/>
            <family val="3"/>
          </rPr>
          <t xml:space="preserve">Using method regarding attenuator of resistor.
2:For input resistance Rip only.
1:For Sensitivity Sip &amp; input resistance Rip.
0 or empty:Do not use. </t>
        </r>
      </text>
    </comment>
    <comment ref="B29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30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31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32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3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</commentList>
</comments>
</file>

<file path=xl/sharedStrings.xml><?xml version="1.0" encoding="utf-8"?>
<sst xmlns="http://schemas.openxmlformats.org/spreadsheetml/2006/main" count="1067" uniqueCount="229">
  <si>
    <t>Ｈｚ</t>
  </si>
  <si>
    <t>ｄＢ</t>
  </si>
  <si>
    <t>(Explanation of operation method)</t>
  </si>
  <si>
    <t>(Explanation of operation method)</t>
  </si>
  <si>
    <t>1.Calculation of parts used in network circuit</t>
  </si>
  <si>
    <t>(1)Fill yellow cell with cross over frequency.</t>
  </si>
  <si>
    <t>(2)Fill yellow cell with rated value of Zin.</t>
  </si>
  <si>
    <t>(3)Fill previous (correction) effective resistance with nil.</t>
  </si>
  <si>
    <t>2.Design of network charactoristics</t>
  </si>
  <si>
    <t>(1)Fill previous (correction) effective resistance with data.</t>
  </si>
  <si>
    <t>(2)Fill previous (correction) sensitivity with data.</t>
  </si>
  <si>
    <t>(3)Fill rated value of Zin with data.</t>
  </si>
  <si>
    <t>(4)Fill rated value of speaker sensitivity with data.</t>
  </si>
  <si>
    <t>(5)Fill attenuator use flag with data, 0 or 1.</t>
  </si>
  <si>
    <t>(6)Fill speaker correction 1-4 add with nil.</t>
  </si>
  <si>
    <t>(7)Check and correct data</t>
  </si>
  <si>
    <t>2way 6dB/oct(-3dB cross) Network Circuit Design Sheet</t>
  </si>
  <si>
    <t>For parts</t>
  </si>
  <si>
    <t>For design</t>
  </si>
  <si>
    <t>Crossover Frequncy</t>
  </si>
  <si>
    <t>Frequency</t>
  </si>
  <si>
    <t>fc1</t>
  </si>
  <si>
    <t>Hz</t>
  </si>
  <si>
    <t>Crossover Attenuation</t>
  </si>
  <si>
    <t>Attenuation</t>
  </si>
  <si>
    <t>dB</t>
  </si>
  <si>
    <t>Parts of Network</t>
  </si>
  <si>
    <t>Coil</t>
  </si>
  <si>
    <t>L1</t>
  </si>
  <si>
    <t>mH</t>
  </si>
  <si>
    <t>Condensor</t>
  </si>
  <si>
    <t>C1</t>
  </si>
  <si>
    <t>microF</t>
  </si>
  <si>
    <t>Item</t>
  </si>
  <si>
    <t>Charactoristics</t>
  </si>
  <si>
    <t>Unit</t>
  </si>
  <si>
    <t>Impedance</t>
  </si>
  <si>
    <t>Adjusting rate</t>
  </si>
  <si>
    <t>Ｚｉｎ</t>
  </si>
  <si>
    <t>ohm</t>
  </si>
  <si>
    <t>ohm</t>
  </si>
  <si>
    <t>Speaker sensitivity</t>
  </si>
  <si>
    <t>Ｓｉ</t>
  </si>
  <si>
    <t>Speaker Charactoritics</t>
  </si>
  <si>
    <t>Speaker Charactoritics</t>
  </si>
  <si>
    <t>Pre Effect Res</t>
  </si>
  <si>
    <t>Pre Effect Res</t>
  </si>
  <si>
    <t>Ｒｉｏ</t>
  </si>
  <si>
    <t>Pre Sensitivity</t>
  </si>
  <si>
    <t>Pre Sensitivity</t>
  </si>
  <si>
    <t>Ｓｉｏ</t>
  </si>
  <si>
    <t>Atten use flag</t>
  </si>
  <si>
    <t>0 or 1</t>
  </si>
  <si>
    <t>Atten Para Res</t>
  </si>
  <si>
    <t>Atten Para Res</t>
  </si>
  <si>
    <t>Ｒａ</t>
  </si>
  <si>
    <t>Atten Ser Res</t>
  </si>
  <si>
    <t>Atten Ser Res</t>
  </si>
  <si>
    <t>Ｒｂ</t>
  </si>
  <si>
    <t>Aft Effect Res</t>
  </si>
  <si>
    <t>Aft Effect Res</t>
  </si>
  <si>
    <t>Ｒｉ</t>
  </si>
  <si>
    <t>Dif from adj sens</t>
  </si>
  <si>
    <t>Dif from adj sens</t>
  </si>
  <si>
    <t>ｎｉ</t>
  </si>
  <si>
    <t>Magni</t>
  </si>
  <si>
    <t>dB</t>
  </si>
  <si>
    <t>Low(i=w)</t>
  </si>
  <si>
    <t>Low(i=w)</t>
  </si>
  <si>
    <t>Mid(i=s)</t>
  </si>
  <si>
    <t>High(i=t)</t>
  </si>
  <si>
    <t>Total</t>
  </si>
  <si>
    <t>0:nil or 1-4</t>
  </si>
  <si>
    <r>
      <t>A</t>
    </r>
    <r>
      <rPr>
        <sz val="11"/>
        <rFont val="ＭＳ Ｐゴシック"/>
        <family val="3"/>
      </rPr>
      <t>bout -3</t>
    </r>
  </si>
  <si>
    <t>ZinX6/rated value(ohm)</t>
  </si>
  <si>
    <t>Hz</t>
  </si>
  <si>
    <t>ohm/dB</t>
  </si>
  <si>
    <t>Phase Dist(X0.1deg/Hz)</t>
  </si>
  <si>
    <t>1k</t>
  </si>
  <si>
    <t>1.5k</t>
  </si>
  <si>
    <t>2k</t>
  </si>
  <si>
    <t>Output power(dB)</t>
  </si>
  <si>
    <t>3k</t>
  </si>
  <si>
    <t>4k</t>
  </si>
  <si>
    <t>5k</t>
  </si>
  <si>
    <t>7k</t>
  </si>
  <si>
    <t>10k</t>
  </si>
  <si>
    <t>15k</t>
  </si>
  <si>
    <t>20k</t>
  </si>
  <si>
    <t>Output Voltage</t>
  </si>
  <si>
    <t>dB</t>
  </si>
  <si>
    <t>Phase of output</t>
  </si>
  <si>
    <t>deg</t>
  </si>
  <si>
    <t>Reactance(XL1-4)</t>
  </si>
  <si>
    <t>ohm</t>
  </si>
  <si>
    <t>Reactance(XC1-4)</t>
  </si>
  <si>
    <t>Conductance(g1-4)</t>
  </si>
  <si>
    <t>1/ohm</t>
  </si>
  <si>
    <t>Susceptance(s1-4)</t>
  </si>
  <si>
    <t>Correction voltage</t>
  </si>
  <si>
    <t>Correction phase</t>
  </si>
  <si>
    <t>X0.1deg/Hz</t>
  </si>
  <si>
    <t>1. Input basic data.</t>
  </si>
  <si>
    <t>(1) Input effective resistance before correction.</t>
  </si>
  <si>
    <t>(2) Input sensitivity before correction.</t>
  </si>
  <si>
    <t>(3) Input an input resistance adjusting rate.</t>
  </si>
  <si>
    <t>(4) Input sensitivity after correction.</t>
  </si>
  <si>
    <t>２．Input data for correction.</t>
  </si>
  <si>
    <t xml:space="preserve">(1) Input Correction flag with 0-2. </t>
  </si>
  <si>
    <t>(2) Input Cross over frequency.</t>
  </si>
  <si>
    <t>(4) Check the Network Circuit Design Sheet applied.</t>
  </si>
  <si>
    <t>Speaker Corrective Circuit (6dB/oct) Series type Design Sheet</t>
  </si>
  <si>
    <t>Item</t>
  </si>
  <si>
    <t>Charactoristics</t>
  </si>
  <si>
    <t>Unit</t>
  </si>
  <si>
    <t>Input resistance</t>
  </si>
  <si>
    <t>Adjusting rate</t>
  </si>
  <si>
    <t>Rio</t>
  </si>
  <si>
    <t>Ω</t>
  </si>
  <si>
    <t>Sensitivity after correct</t>
  </si>
  <si>
    <t>Sio</t>
  </si>
  <si>
    <t>ｄＢ</t>
  </si>
  <si>
    <t>Polarity after correction</t>
  </si>
  <si>
    <t>Connection　Order：０ Reverse:1</t>
  </si>
  <si>
    <t>Lower cross over</t>
  </si>
  <si>
    <t>-3dB frequency</t>
  </si>
  <si>
    <t>ｆｃL</t>
  </si>
  <si>
    <t>Higher cross over</t>
  </si>
  <si>
    <t>ｆｃU</t>
  </si>
  <si>
    <t>Lower cross over parts</t>
  </si>
  <si>
    <t>Coil</t>
  </si>
  <si>
    <t>Ｌ１</t>
  </si>
  <si>
    <t>mH</t>
  </si>
  <si>
    <t>Condensor</t>
  </si>
  <si>
    <t>Ｃ１</t>
  </si>
  <si>
    <t>microF</t>
  </si>
  <si>
    <t>Higher cross over parts</t>
  </si>
  <si>
    <t>Ｌ２</t>
  </si>
  <si>
    <t>Ｃ２</t>
  </si>
  <si>
    <t>Rip</t>
  </si>
  <si>
    <t>Sip</t>
  </si>
  <si>
    <t>Correct flag 2:Rip 1:Sens 0:Nil</t>
  </si>
  <si>
    <t>Ｒａ</t>
  </si>
  <si>
    <t>Ｒｂ</t>
  </si>
  <si>
    <t>Ｒｉ</t>
  </si>
  <si>
    <t>ｎｉ</t>
  </si>
  <si>
    <t>Magni</t>
  </si>
  <si>
    <t>Mid(i=s)</t>
  </si>
  <si>
    <t>High(i=t)</t>
  </si>
  <si>
    <t>Ultra(i=u)</t>
  </si>
  <si>
    <t>Impedance</t>
  </si>
  <si>
    <t>Hz</t>
  </si>
  <si>
    <t>Ohm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</si>
  <si>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</si>
  <si>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</si>
  <si>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</si>
  <si>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</si>
  <si>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</si>
  <si>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</si>
  <si>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</si>
  <si>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</si>
  <si>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</si>
  <si>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</si>
  <si>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Output Voltage</t>
  </si>
  <si>
    <t>dB</t>
  </si>
  <si>
    <t>Phase of output</t>
  </si>
  <si>
    <t>deg</t>
  </si>
  <si>
    <t>Reactance XL1</t>
  </si>
  <si>
    <t>Reactance XC1</t>
  </si>
  <si>
    <t>Reactance XL2</t>
  </si>
  <si>
    <t>Reactance XC2</t>
  </si>
  <si>
    <t>1.Primary rating of Speaker system</t>
  </si>
  <si>
    <t>3 way,  3 speakers, bass reflex methods / bookshelf type.</t>
  </si>
  <si>
    <t>Woofer : 23cm corn type, Squawker : 6cm corn type, Tweeter : 1.8cm piezo dome type</t>
  </si>
  <si>
    <t>80watts(EIAJ) maximum</t>
  </si>
  <si>
    <t>Average 90dB/watt/meter</t>
  </si>
  <si>
    <t>2.6kHz,10kHz(12dB/oct 2way network circuit + coupling condenser)</t>
  </si>
  <si>
    <t>Width290Xheight520Xdepth255mm</t>
  </si>
  <si>
    <t>7.5kg</t>
  </si>
  <si>
    <t>(1) Model</t>
  </si>
  <si>
    <t>(2) Speaker unit</t>
  </si>
  <si>
    <t>(3) Reproduction freq</t>
  </si>
  <si>
    <t>(4) Impedance</t>
  </si>
  <si>
    <t>(5) Input power</t>
  </si>
  <si>
    <t>(6) Sound pressure</t>
  </si>
  <si>
    <t>(7) Cross over freq</t>
  </si>
  <si>
    <t>(8) Outline dimensions</t>
  </si>
  <si>
    <t>(9) Weight</t>
  </si>
  <si>
    <t>(1) No sound from tweeter.-A cause: The impedance of the tweeter is too high.</t>
  </si>
  <si>
    <t>(3) Feeling the sound with much distortion.-A cause : LC elements have non-linearity charactoristics.</t>
  </si>
  <si>
    <t>(1) To change tweeter to 6cm Horn type speaker.</t>
  </si>
  <si>
    <t>(2) To change network circuit from 2way12dB/oct network to 3way6dB/oct network (Zin constant type).</t>
  </si>
  <si>
    <t>(2) Good volume of sound is heard with tiring.-A cause : Output level of midrange is too high.</t>
  </si>
  <si>
    <t>　* Connecting attenuator of resistor to squawker.</t>
  </si>
  <si>
    <t>(4) To change parts of network circuit</t>
  </si>
  <si>
    <t>　* Connecting low pass type corrective circuit to woofer, and making midrange small.</t>
  </si>
  <si>
    <t>　* Changing to film type condenser in the circuit except woofer, and making distortion small.</t>
  </si>
  <si>
    <t>　* Changing core material from silicon steel to ferrite, and making distortion small.</t>
  </si>
  <si>
    <t>Circuit diagram of primary speaker system</t>
  </si>
  <si>
    <t>Circuit diagram of speaker system improved</t>
  </si>
  <si>
    <t>6 ohms</t>
  </si>
  <si>
    <t>50Hz-20kHz</t>
  </si>
  <si>
    <t>(3) To adjust for all speakers having lower midrange of sound.</t>
  </si>
  <si>
    <t>2.Features as sound quality of Primary Speaker system</t>
  </si>
  <si>
    <t>3.Improvement method</t>
  </si>
  <si>
    <r>
      <t>4.</t>
    </r>
    <r>
      <rPr>
        <b/>
        <sz val="11"/>
        <rFont val="ＭＳ Ｐゴシック"/>
        <family val="3"/>
      </rPr>
      <t>Execution the improvement and ckeck the result</t>
    </r>
  </si>
  <si>
    <t xml:space="preserve"> *Messure freq. response of original speakers, and fill the data to table then correct speakers.</t>
  </si>
  <si>
    <t>Low(i=w)</t>
  </si>
  <si>
    <t>Mid(i=s)</t>
  </si>
  <si>
    <t>High(i=t)</t>
  </si>
  <si>
    <t>Total</t>
  </si>
  <si>
    <t>Output power</t>
  </si>
  <si>
    <t>Output volt</t>
  </si>
  <si>
    <t>(5)Repeat operation (2)-(4) till completed.</t>
  </si>
  <si>
    <t>3.Add the influence of SpeakerCorrection sheet</t>
  </si>
  <si>
    <t>Variation of freq. response before correction(dB)</t>
  </si>
  <si>
    <r>
      <t>Fill the below table with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V</t>
    </r>
    <r>
      <rPr>
        <sz val="11"/>
        <rFont val="ＭＳ Ｐゴシック"/>
        <family val="3"/>
      </rPr>
      <t>ariation</t>
    </r>
    <r>
      <rPr>
        <sz val="11"/>
        <rFont val="ＭＳ Ｐゴシック"/>
        <family val="3"/>
      </rPr>
      <t xml:space="preserve"> freq. response</t>
    </r>
    <r>
      <rPr>
        <sz val="11"/>
        <rFont val="ＭＳ Ｐゴシック"/>
        <family val="3"/>
      </rPr>
      <t xml:space="preserve"> of speakers if any.</t>
    </r>
  </si>
  <si>
    <t>(6)Repeat operation (1)-(5) till completed.</t>
  </si>
  <si>
    <t xml:space="preserve">     or attenuation, can correct by difference of Sio.</t>
  </si>
  <si>
    <t>(5) Make to agree with Rio in both sheets, but for boost</t>
  </si>
  <si>
    <t>Use Sp Correction sheet only existing Variation of freq. response.</t>
  </si>
  <si>
    <t>Sp correction type 1-4</t>
  </si>
  <si>
    <t>(2)Fill the suitable SpeakerCorrection sheet with necessary data.</t>
  </si>
  <si>
    <t>(3)Check freq. charactoristics in this sheet as a result of this.</t>
  </si>
  <si>
    <t>(4)Correct and adjust the data in both sheets if necessary.</t>
  </si>
  <si>
    <t>(1)Select SpeakerCorrection type and insert the suitable data, 1-4.</t>
  </si>
  <si>
    <t>(3) Input Connection Polarity with 0-1.</t>
  </si>
  <si>
    <t>　* Connecing attenuator and high pass type corrective circuit to tweeter for correction.</t>
  </si>
  <si>
    <t xml:space="preserve"> *Insert "1"or blanc in red cell of 6dB3wayType2 sheet and will be able to recognize the difference.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</si>
</sst>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_);[Red]\(0.000\)"/>
    <numFmt numFmtId="180" formatCode="0.0000_ "/>
    <numFmt numFmtId="181" formatCode="0_);[Red]\(0\)"/>
    <numFmt numFmtId="182" formatCode="0_ "/>
    <numFmt numFmtId="183" formatCode="0.000000_ "/>
    <numFmt numFmtId="184" formatCode="0.00000_ "/>
    <numFmt numFmtId="185" formatCode="0.00000000_ "/>
    <numFmt numFmtId="186" formatCode="0.000000_);[Red]\(0.000000\)"/>
    <numFmt numFmtId="187" formatCode="0.00000_);[Red]\(0.00000\)"/>
    <numFmt numFmtId="188" formatCode="0.00_);[Red]\(0.00\)"/>
    <numFmt numFmtId="189" formatCode="0.0000_);[Red]\(0.0000\)"/>
    <numFmt numFmtId="190" formatCode="0.0_);[Red]\(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77" fontId="0" fillId="0" borderId="10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179" fontId="0" fillId="0" borderId="10" xfId="0" applyNumberFormat="1" applyBorder="1" applyAlignment="1" applyProtection="1">
      <alignment/>
      <protection hidden="1"/>
    </xf>
    <xf numFmtId="180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 shrinkToFit="1"/>
      <protection hidden="1"/>
    </xf>
    <xf numFmtId="0" fontId="0" fillId="0" borderId="10" xfId="0" applyBorder="1" applyAlignment="1" applyProtection="1">
      <alignment/>
      <protection hidden="1"/>
    </xf>
    <xf numFmtId="176" fontId="0" fillId="0" borderId="10" xfId="0" applyNumberFormat="1" applyBorder="1" applyAlignment="1" applyProtection="1">
      <alignment/>
      <protection hidden="1"/>
    </xf>
    <xf numFmtId="0" fontId="0" fillId="0" borderId="10" xfId="0" applyFill="1" applyBorder="1" applyAlignment="1" applyProtection="1">
      <alignment shrinkToFit="1"/>
      <protection hidden="1"/>
    </xf>
    <xf numFmtId="0" fontId="0" fillId="0" borderId="10" xfId="0" applyFill="1" applyBorder="1" applyAlignment="1" applyProtection="1">
      <alignment/>
      <protection hidden="1"/>
    </xf>
    <xf numFmtId="176" fontId="2" fillId="0" borderId="10" xfId="0" applyNumberFormat="1" applyFont="1" applyBorder="1" applyAlignment="1" applyProtection="1">
      <alignment/>
      <protection hidden="1"/>
    </xf>
    <xf numFmtId="183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6" fontId="0" fillId="0" borderId="10" xfId="0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33" borderId="10" xfId="0" applyFill="1" applyBorder="1" applyAlignment="1" applyProtection="1">
      <alignment horizontal="center" vertical="center" shrinkToFit="1"/>
      <protection hidden="1"/>
    </xf>
    <xf numFmtId="0" fontId="0" fillId="34" borderId="10" xfId="0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shrinkToFit="1"/>
      <protection hidden="1"/>
    </xf>
    <xf numFmtId="0" fontId="0" fillId="0" borderId="18" xfId="0" applyBorder="1" applyAlignment="1" applyProtection="1">
      <alignment/>
      <protection hidden="1"/>
    </xf>
    <xf numFmtId="177" fontId="0" fillId="0" borderId="10" xfId="0" applyNumberFormat="1" applyFill="1" applyBorder="1" applyAlignment="1" applyProtection="1">
      <alignment horizontal="center" shrinkToFit="1"/>
      <protection hidden="1"/>
    </xf>
    <xf numFmtId="187" fontId="0" fillId="0" borderId="10" xfId="0" applyNumberFormat="1" applyBorder="1" applyAlignment="1" applyProtection="1">
      <alignment/>
      <protection hidden="1"/>
    </xf>
    <xf numFmtId="176" fontId="0" fillId="0" borderId="10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177" fontId="0" fillId="0" borderId="10" xfId="0" applyNumberFormat="1" applyBorder="1" applyAlignment="1" applyProtection="1">
      <alignment horizontal="center" shrinkToFit="1"/>
      <protection hidden="1"/>
    </xf>
    <xf numFmtId="0" fontId="0" fillId="0" borderId="10" xfId="0" applyBorder="1" applyAlignment="1" applyProtection="1" quotePrefix="1">
      <alignment shrinkToFit="1"/>
      <protection hidden="1"/>
    </xf>
    <xf numFmtId="178" fontId="8" fillId="0" borderId="10" xfId="0" applyNumberFormat="1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/>
      <protection hidden="1"/>
    </xf>
    <xf numFmtId="176" fontId="2" fillId="34" borderId="10" xfId="0" applyNumberFormat="1" applyFont="1" applyFill="1" applyBorder="1" applyAlignment="1" applyProtection="1">
      <alignment/>
      <protection hidden="1"/>
    </xf>
    <xf numFmtId="188" fontId="2" fillId="34" borderId="10" xfId="0" applyNumberFormat="1" applyFont="1" applyFill="1" applyBorder="1" applyAlignment="1" applyProtection="1">
      <alignment/>
      <protection hidden="1"/>
    </xf>
    <xf numFmtId="182" fontId="2" fillId="34" borderId="10" xfId="0" applyNumberFormat="1" applyFont="1" applyFill="1" applyBorder="1" applyAlignment="1" applyProtection="1">
      <alignment/>
      <protection hidden="1"/>
    </xf>
    <xf numFmtId="176" fontId="2" fillId="33" borderId="10" xfId="0" applyNumberFormat="1" applyFont="1" applyFill="1" applyBorder="1" applyAlignment="1" applyProtection="1">
      <alignment/>
      <protection hidden="1"/>
    </xf>
    <xf numFmtId="188" fontId="2" fillId="33" borderId="10" xfId="0" applyNumberFormat="1" applyFont="1" applyFill="1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shrinkToFit="1"/>
      <protection hidden="1"/>
    </xf>
    <xf numFmtId="184" fontId="0" fillId="0" borderId="10" xfId="0" applyNumberFormat="1" applyBorder="1" applyAlignment="1" applyProtection="1">
      <alignment/>
      <protection hidden="1"/>
    </xf>
    <xf numFmtId="176" fontId="2" fillId="0" borderId="10" xfId="60" applyNumberFormat="1" applyFont="1" applyFill="1" applyBorder="1" applyProtection="1">
      <alignment/>
      <protection hidden="1"/>
    </xf>
    <xf numFmtId="176" fontId="2" fillId="0" borderId="10" xfId="60" applyNumberFormat="1" applyFont="1" applyFill="1" applyBorder="1" applyProtection="1">
      <alignment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22" xfId="0" applyBorder="1" applyAlignment="1">
      <alignment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6" fillId="0" borderId="10" xfId="0" applyFont="1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27" xfId="0" applyFont="1" applyBorder="1" applyAlignment="1">
      <alignment shrinkToFit="1"/>
    </xf>
    <xf numFmtId="0" fontId="0" fillId="0" borderId="1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1" xfId="60" applyFont="1" applyBorder="1" applyAlignment="1" applyProtection="1">
      <alignment horizontal="center" vertical="center"/>
      <protection hidden="1"/>
    </xf>
    <xf numFmtId="0" fontId="0" fillId="0" borderId="34" xfId="60" applyBorder="1" applyAlignment="1" applyProtection="1">
      <alignment horizontal="center" vertical="center"/>
      <protection hidden="1"/>
    </xf>
    <xf numFmtId="0" fontId="0" fillId="0" borderId="12" xfId="60" applyBorder="1" applyAlignment="1" applyProtection="1">
      <alignment horizontal="center" vertical="center"/>
      <protection hidden="1"/>
    </xf>
    <xf numFmtId="0" fontId="0" fillId="0" borderId="18" xfId="60" applyBorder="1" applyAlignment="1" applyProtection="1">
      <alignment/>
      <protection hidden="1"/>
    </xf>
    <xf numFmtId="0" fontId="0" fillId="0" borderId="35" xfId="0" applyBorder="1" applyAlignment="1">
      <alignment/>
    </xf>
    <xf numFmtId="0" fontId="0" fillId="0" borderId="18" xfId="60" applyBorder="1" applyAlignment="1" applyProtection="1">
      <alignment horizontal="center" vertical="center" shrinkToFit="1"/>
      <protection hidden="1"/>
    </xf>
    <xf numFmtId="0" fontId="0" fillId="0" borderId="36" xfId="60" applyBorder="1" applyAlignment="1" applyProtection="1">
      <alignment horizontal="center" vertical="center" shrinkToFit="1"/>
      <protection hidden="1"/>
    </xf>
    <xf numFmtId="0" fontId="0" fillId="0" borderId="35" xfId="60" applyBorder="1" applyAlignment="1" applyProtection="1">
      <alignment horizontal="center" vertical="center" shrinkToFit="1"/>
      <protection hidden="1"/>
    </xf>
    <xf numFmtId="177" fontId="0" fillId="0" borderId="11" xfId="0" applyNumberForma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35" xfId="0" applyBorder="1" applyAlignment="1" applyProtection="1">
      <alignment vertical="center" shrinkToFit="1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shrinkToFit="1"/>
      <protection hidden="1"/>
    </xf>
    <xf numFmtId="0" fontId="0" fillId="0" borderId="34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22" xfId="0" applyFont="1" applyBorder="1" applyAlignment="1">
      <alignment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Zin/Output voltage,power/Phase Distortion (Group delay)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07925"/>
          <c:w val="0.8695"/>
          <c:h val="0.76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6dB3wayType2!$B$53:$B$74</c:f>
              <c:strCache/>
            </c:strRef>
          </c:cat>
          <c:val>
            <c:numRef>
              <c:f>6dB3wayType2!$E$53:$E$74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6dB3wayType2!$B$53:$B$74</c:f>
              <c:strCache/>
            </c:strRef>
          </c:cat>
          <c:val>
            <c:numRef>
              <c:f>6dB3wayType2!$F$53:$F$74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6dB3wayType2!$B$53:$B$74</c:f>
              <c:strCache/>
            </c:strRef>
          </c:cat>
          <c:val>
            <c:numRef>
              <c:f>6dB3wayType2!$G$53:$G$74</c:f>
              <c:numCache/>
            </c:numRef>
          </c:val>
          <c:smooth val="0"/>
        </c:ser>
        <c:ser>
          <c:idx val="3"/>
          <c:order val="3"/>
          <c:tx>
            <c:v>Volt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6dB3wayType2!$H$53:$H$74</c:f>
              <c:numCache/>
            </c:numRef>
          </c:val>
          <c:smooth val="0"/>
        </c:ser>
        <c:ser>
          <c:idx val="4"/>
          <c:order val="4"/>
          <c:tx>
            <c:v>Ｚｉｎ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6dB3wayType2!$E$31:$E$52</c:f>
              <c:numCache/>
            </c:numRef>
          </c:val>
          <c:smooth val="0"/>
        </c:ser>
        <c:ser>
          <c:idx val="5"/>
          <c:order val="5"/>
          <c:tx>
            <c:v>Power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6dB3wayType2!$H$31:$H$52</c:f>
              <c:numCache/>
            </c:numRef>
          </c:val>
          <c:smooth val="0"/>
        </c:ser>
        <c:ser>
          <c:idx val="6"/>
          <c:order val="6"/>
          <c:tx>
            <c:v>PD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6dB3wayType2!$G$32:$G$52</c:f>
              <c:numCache/>
            </c:numRef>
          </c:val>
          <c:smooth val="0"/>
        </c:ser>
        <c:marker val="1"/>
        <c:axId val="7225404"/>
        <c:axId val="65028637"/>
      </c:lineChart>
      <c:catAx>
        <c:axId val="722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28637"/>
        <c:crosses val="autoZero"/>
        <c:auto val="1"/>
        <c:lblOffset val="100"/>
        <c:tickLblSkip val="2"/>
        <c:noMultiLvlLbl val="0"/>
      </c:catAx>
      <c:valAx>
        <c:axId val="65028637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ZinX6/Total rated (ohm)
Voltage , Power (dB)
Phase Dist(X0.1deg/Hz)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5404"/>
        <c:crossesAt val="1"/>
        <c:crossBetween val="between"/>
        <c:dispUnits/>
        <c:maj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475"/>
          <c:y val="0.91875"/>
          <c:w val="0.7545"/>
          <c:h val="0.0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Output Voltage to speakers ( Adjusting rate = 0 dB )</a:t>
            </a:r>
          </a:p>
        </c:rich>
      </c:tx>
      <c:layout>
        <c:manualLayout>
          <c:xMode val="factor"/>
          <c:yMode val="factor"/>
          <c:x val="0.048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8"/>
          <c:w val="0.8855"/>
          <c:h val="0.76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SpeakerCorrection1!$B$56:$B$77</c:f>
              <c:strCache/>
            </c:strRef>
          </c:cat>
          <c:val>
            <c:numRef>
              <c:f>SpeakerCorrection1!$E$56:$E$77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SpeakerCorrection1!$F$56:$F$77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SpeakerCorrection1!$G$56:$G$77</c:f>
              <c:numCache/>
            </c:numRef>
          </c:val>
          <c:smooth val="0"/>
        </c:ser>
        <c:ser>
          <c:idx val="3"/>
          <c:order val="3"/>
          <c:tx>
            <c:v>Ultra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SpeakerCorrection1!$H$56:$H$77</c:f>
              <c:numCache/>
            </c:numRef>
          </c:val>
          <c:smooth val="0"/>
        </c:ser>
        <c:marker val="1"/>
        <c:axId val="48386822"/>
        <c:axId val="32828215"/>
      </c:lineChart>
      <c:cat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（Ｈｚ）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32828215"/>
        <c:crosses val="autoZero"/>
        <c:auto val="1"/>
        <c:lblOffset val="100"/>
        <c:tickLblSkip val="2"/>
        <c:noMultiLvlLbl val="0"/>
      </c:catAx>
      <c:valAx>
        <c:axId val="3282821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Output Voltage (dB)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822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"/>
          <c:y val="0.9185"/>
          <c:w val="0.629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4</xdr:col>
      <xdr:colOff>371475</xdr:colOff>
      <xdr:row>96</xdr:row>
      <xdr:rowOff>200025</xdr:rowOff>
    </xdr:to>
    <xdr:pic>
      <xdr:nvPicPr>
        <xdr:cNvPr id="1" name="Picture 6" descr="E:\データファィル\スピーカーネットワーク\ネットワーク改良\回路図\S-700DiPrimar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25225"/>
          <a:ext cx="3305175" cy="54197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</xdr:colOff>
      <xdr:row>66</xdr:row>
      <xdr:rowOff>0</xdr:rowOff>
    </xdr:from>
    <xdr:to>
      <xdr:col>9</xdr:col>
      <xdr:colOff>704850</xdr:colOff>
      <xdr:row>96</xdr:row>
      <xdr:rowOff>200025</xdr:rowOff>
    </xdr:to>
    <xdr:pic>
      <xdr:nvPicPr>
        <xdr:cNvPr id="2" name="Picture 7" descr="E:\データファィル\スピーカーネットワーク\ネットワーク改良\回路図\S-700DiImprov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1325225"/>
          <a:ext cx="3276600" cy="54197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27</xdr:row>
      <xdr:rowOff>19050</xdr:rowOff>
    </xdr:from>
    <xdr:to>
      <xdr:col>4</xdr:col>
      <xdr:colOff>371475</xdr:colOff>
      <xdr:row>56</xdr:row>
      <xdr:rowOff>133350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648200"/>
          <a:ext cx="3267075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27</xdr:row>
      <xdr:rowOff>38100</xdr:rowOff>
    </xdr:from>
    <xdr:to>
      <xdr:col>9</xdr:col>
      <xdr:colOff>685800</xdr:colOff>
      <xdr:row>36</xdr:row>
      <xdr:rowOff>123825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4667250"/>
          <a:ext cx="32194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38</xdr:row>
      <xdr:rowOff>38100</xdr:rowOff>
    </xdr:from>
    <xdr:to>
      <xdr:col>9</xdr:col>
      <xdr:colOff>685800</xdr:colOff>
      <xdr:row>47</xdr:row>
      <xdr:rowOff>123825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553200"/>
          <a:ext cx="3228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49</xdr:row>
      <xdr:rowOff>47625</xdr:rowOff>
    </xdr:from>
    <xdr:to>
      <xdr:col>9</xdr:col>
      <xdr:colOff>676275</xdr:colOff>
      <xdr:row>58</xdr:row>
      <xdr:rowOff>133350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62325" y="8448675"/>
          <a:ext cx="3228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0</xdr:rowOff>
    </xdr:from>
    <xdr:to>
      <xdr:col>7</xdr:col>
      <xdr:colOff>828675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1885950" y="190500"/>
        <a:ext cx="4933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1</xdr:row>
      <xdr:rowOff>0</xdr:rowOff>
    </xdr:from>
    <xdr:to>
      <xdr:col>1</xdr:col>
      <xdr:colOff>400050</xdr:colOff>
      <xdr:row>11</xdr:row>
      <xdr:rowOff>0</xdr:rowOff>
    </xdr:to>
    <xdr:pic>
      <xdr:nvPicPr>
        <xdr:cNvPr id="2" name="Picture 2" descr="C:\データファィル\スピーカーネットワーク\設計プログラム\３ｗａｙ０６ｄＢ／ｏｃｔ\新方式３ｗａｙ６ｄＢ／ｏｃｔ全並列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1847850" cy="1905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1</xdr:col>
      <xdr:colOff>400050</xdr:colOff>
      <xdr:row>15</xdr:row>
      <xdr:rowOff>0</xdr:rowOff>
    </xdr:to>
    <xdr:pic>
      <xdr:nvPicPr>
        <xdr:cNvPr id="3" name="Picture 7" descr="E:\データファィル\スピーカーネットワーク\設計プログラム\NetworkCircuitDsign\スピーカー補正回路\抵抗減衰器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05025"/>
          <a:ext cx="1876425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9525</xdr:rowOff>
    </xdr:from>
    <xdr:to>
      <xdr:col>8</xdr:col>
      <xdr:colOff>0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2619375" y="200025"/>
        <a:ext cx="42195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1333500</xdr:colOff>
      <xdr:row>8</xdr:row>
      <xdr:rowOff>0</xdr:rowOff>
    </xdr:to>
    <xdr:pic>
      <xdr:nvPicPr>
        <xdr:cNvPr id="2" name="Picture 11" descr="E:\データファィル\スピーカーネットワーク\設計プログラム\NetworkCircuitDsign\スピーカー補正回路\SeriesHighpass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1333500" cy="1323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1333500</xdr:colOff>
      <xdr:row>14</xdr:row>
      <xdr:rowOff>180975</xdr:rowOff>
    </xdr:to>
    <xdr:pic>
      <xdr:nvPicPr>
        <xdr:cNvPr id="3" name="Picture 12" descr="E:\データファィル\スピーカーネットワーク\設計プログラム\NetworkCircuitDsign\スピーカー補正回路\SeriesLowpass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24000"/>
          <a:ext cx="1333500" cy="1323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1352550</xdr:colOff>
      <xdr:row>1</xdr:row>
      <xdr:rowOff>19050</xdr:rowOff>
    </xdr:from>
    <xdr:to>
      <xdr:col>2</xdr:col>
      <xdr:colOff>57150</xdr:colOff>
      <xdr:row>10</xdr:row>
      <xdr:rowOff>180975</xdr:rowOff>
    </xdr:to>
    <xdr:pic>
      <xdr:nvPicPr>
        <xdr:cNvPr id="4" name="Picture 13" descr="E:\データファィル\スピーカーネットワーク\設計プログラム\NetworkCircuitDsign\スピーカー補正回路\SeriesBandpass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209550"/>
          <a:ext cx="1257300" cy="1876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1352550</xdr:colOff>
      <xdr:row>11</xdr:row>
      <xdr:rowOff>9525</xdr:rowOff>
    </xdr:from>
    <xdr:to>
      <xdr:col>2</xdr:col>
      <xdr:colOff>57150</xdr:colOff>
      <xdr:row>14</xdr:row>
      <xdr:rowOff>171450</xdr:rowOff>
    </xdr:to>
    <xdr:pic>
      <xdr:nvPicPr>
        <xdr:cNvPr id="5" name="Picture 14" descr="E:\データファィル\スピーカーネットワーク\設計プログラム\NetworkCircuitDsign\スピーカー補正回路\Attenuator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2105025"/>
          <a:ext cx="1257300" cy="733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4" width="9.625" style="0" customWidth="1"/>
    <col min="5" max="6" width="5.125" style="0" customWidth="1"/>
    <col min="7" max="10" width="9.625" style="0" customWidth="1"/>
    <col min="11" max="11" width="9.50390625" style="0" bestFit="1" customWidth="1"/>
  </cols>
  <sheetData>
    <row r="1" spans="1:10" ht="13.5">
      <c r="A1" s="74" t="s">
        <v>171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>
      <c r="A2" s="81" t="s">
        <v>179</v>
      </c>
      <c r="B2" s="79"/>
      <c r="C2" s="79" t="s">
        <v>172</v>
      </c>
      <c r="D2" s="79"/>
      <c r="E2" s="79"/>
      <c r="F2" s="79"/>
      <c r="G2" s="79"/>
      <c r="H2" s="79"/>
      <c r="I2" s="79"/>
      <c r="J2" s="80"/>
    </row>
    <row r="3" spans="1:10" ht="13.5">
      <c r="A3" s="73" t="s">
        <v>180</v>
      </c>
      <c r="B3" s="71"/>
      <c r="C3" s="71" t="s">
        <v>173</v>
      </c>
      <c r="D3" s="71"/>
      <c r="E3" s="71"/>
      <c r="F3" s="71"/>
      <c r="G3" s="71"/>
      <c r="H3" s="71"/>
      <c r="I3" s="71"/>
      <c r="J3" s="72"/>
    </row>
    <row r="4" spans="1:10" ht="13.5">
      <c r="A4" s="73" t="s">
        <v>181</v>
      </c>
      <c r="B4" s="71"/>
      <c r="C4" s="71" t="s">
        <v>201</v>
      </c>
      <c r="D4" s="71"/>
      <c r="E4" s="71"/>
      <c r="F4" s="71"/>
      <c r="G4" s="71"/>
      <c r="H4" s="71"/>
      <c r="I4" s="71"/>
      <c r="J4" s="72"/>
    </row>
    <row r="5" spans="1:10" ht="13.5">
      <c r="A5" s="73" t="s">
        <v>182</v>
      </c>
      <c r="B5" s="71"/>
      <c r="C5" s="71" t="s">
        <v>200</v>
      </c>
      <c r="D5" s="71"/>
      <c r="E5" s="71"/>
      <c r="F5" s="71"/>
      <c r="G5" s="71"/>
      <c r="H5" s="71"/>
      <c r="I5" s="71"/>
      <c r="J5" s="72"/>
    </row>
    <row r="6" spans="1:10" ht="13.5">
      <c r="A6" s="73" t="s">
        <v>183</v>
      </c>
      <c r="B6" s="71"/>
      <c r="C6" s="71" t="s">
        <v>174</v>
      </c>
      <c r="D6" s="71"/>
      <c r="E6" s="71"/>
      <c r="F6" s="71"/>
      <c r="G6" s="71"/>
      <c r="H6" s="71"/>
      <c r="I6" s="71"/>
      <c r="J6" s="72"/>
    </row>
    <row r="7" spans="1:10" ht="13.5">
      <c r="A7" s="73" t="s">
        <v>184</v>
      </c>
      <c r="B7" s="71"/>
      <c r="C7" s="71" t="s">
        <v>175</v>
      </c>
      <c r="D7" s="71"/>
      <c r="E7" s="71"/>
      <c r="F7" s="71"/>
      <c r="G7" s="71"/>
      <c r="H7" s="71"/>
      <c r="I7" s="71"/>
      <c r="J7" s="72"/>
    </row>
    <row r="8" spans="1:10" ht="13.5">
      <c r="A8" s="73" t="s">
        <v>185</v>
      </c>
      <c r="B8" s="71"/>
      <c r="C8" s="71" t="s">
        <v>176</v>
      </c>
      <c r="D8" s="71"/>
      <c r="E8" s="71"/>
      <c r="F8" s="71"/>
      <c r="G8" s="71"/>
      <c r="H8" s="71"/>
      <c r="I8" s="71"/>
      <c r="J8" s="72"/>
    </row>
    <row r="9" spans="1:10" ht="13.5">
      <c r="A9" s="73" t="s">
        <v>186</v>
      </c>
      <c r="B9" s="71"/>
      <c r="C9" s="71" t="s">
        <v>177</v>
      </c>
      <c r="D9" s="71"/>
      <c r="E9" s="71"/>
      <c r="F9" s="71"/>
      <c r="G9" s="71"/>
      <c r="H9" s="71"/>
      <c r="I9" s="71"/>
      <c r="J9" s="72"/>
    </row>
    <row r="10" spans="1:10" ht="13.5">
      <c r="A10" s="73" t="s">
        <v>187</v>
      </c>
      <c r="B10" s="71"/>
      <c r="C10" s="71" t="s">
        <v>178</v>
      </c>
      <c r="D10" s="71"/>
      <c r="E10" s="71"/>
      <c r="F10" s="71"/>
      <c r="G10" s="71"/>
      <c r="H10" s="71"/>
      <c r="I10" s="71"/>
      <c r="J10" s="72"/>
    </row>
    <row r="11" spans="1:10" ht="13.5">
      <c r="A11" s="78"/>
      <c r="B11" s="76"/>
      <c r="C11" s="76"/>
      <c r="D11" s="76"/>
      <c r="E11" s="76"/>
      <c r="F11" s="76"/>
      <c r="G11" s="76"/>
      <c r="H11" s="76"/>
      <c r="I11" s="76"/>
      <c r="J11" s="77"/>
    </row>
    <row r="12" spans="1:10" ht="13.5">
      <c r="A12" s="74" t="s">
        <v>203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3.5">
      <c r="A13" s="75" t="s">
        <v>188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3.5">
      <c r="A14" s="59" t="s">
        <v>192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3.5">
      <c r="A15" s="59" t="s">
        <v>189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3.5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3.5">
      <c r="A17" s="74" t="s">
        <v>204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10" ht="13.5">
      <c r="A18" s="75" t="s">
        <v>190</v>
      </c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3.5">
      <c r="A19" s="59" t="s">
        <v>191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3.5">
      <c r="A20" s="59" t="s">
        <v>202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3.5">
      <c r="A21" s="59" t="s">
        <v>193</v>
      </c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3.5">
      <c r="A22" s="59" t="s">
        <v>195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3.5">
      <c r="A23" s="59" t="s">
        <v>227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3.5">
      <c r="A24" s="59" t="s">
        <v>194</v>
      </c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3.5">
      <c r="A25" s="59" t="s">
        <v>196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3.5">
      <c r="A26" s="59" t="s">
        <v>197</v>
      </c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13.5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3.5">
      <c r="A28" s="60"/>
      <c r="B28" s="61"/>
      <c r="C28" s="61"/>
      <c r="D28" s="61"/>
      <c r="E28" s="62"/>
      <c r="F28" s="60"/>
      <c r="G28" s="61"/>
      <c r="H28" s="61"/>
      <c r="I28" s="61"/>
      <c r="J28" s="62"/>
    </row>
    <row r="29" spans="1:10" ht="13.5">
      <c r="A29" s="63"/>
      <c r="B29" s="64"/>
      <c r="C29" s="64"/>
      <c r="D29" s="64"/>
      <c r="E29" s="65"/>
      <c r="F29" s="63"/>
      <c r="G29" s="66"/>
      <c r="H29" s="66"/>
      <c r="I29" s="66"/>
      <c r="J29" s="65"/>
    </row>
    <row r="30" spans="1:10" ht="13.5">
      <c r="A30" s="63"/>
      <c r="B30" s="64"/>
      <c r="C30" s="64"/>
      <c r="D30" s="64"/>
      <c r="E30" s="65"/>
      <c r="F30" s="63"/>
      <c r="G30" s="66"/>
      <c r="H30" s="66"/>
      <c r="I30" s="66"/>
      <c r="J30" s="65"/>
    </row>
    <row r="31" spans="1:10" ht="13.5">
      <c r="A31" s="63"/>
      <c r="B31" s="64"/>
      <c r="C31" s="64"/>
      <c r="D31" s="64"/>
      <c r="E31" s="65"/>
      <c r="F31" s="63"/>
      <c r="G31" s="66"/>
      <c r="H31" s="66"/>
      <c r="I31" s="66"/>
      <c r="J31" s="65"/>
    </row>
    <row r="32" spans="1:10" ht="13.5">
      <c r="A32" s="63"/>
      <c r="B32" s="64"/>
      <c r="C32" s="64"/>
      <c r="D32" s="64"/>
      <c r="E32" s="65"/>
      <c r="F32" s="63"/>
      <c r="G32" s="66"/>
      <c r="H32" s="66"/>
      <c r="I32" s="66"/>
      <c r="J32" s="65"/>
    </row>
    <row r="33" spans="1:10" ht="13.5">
      <c r="A33" s="63"/>
      <c r="B33" s="64"/>
      <c r="C33" s="64"/>
      <c r="D33" s="64"/>
      <c r="E33" s="65"/>
      <c r="F33" s="63"/>
      <c r="G33" s="66"/>
      <c r="H33" s="66"/>
      <c r="I33" s="66"/>
      <c r="J33" s="65"/>
    </row>
    <row r="34" spans="1:10" ht="13.5">
      <c r="A34" s="63"/>
      <c r="B34" s="64"/>
      <c r="C34" s="64"/>
      <c r="D34" s="64"/>
      <c r="E34" s="65"/>
      <c r="F34" s="63"/>
      <c r="G34" s="66"/>
      <c r="H34" s="66"/>
      <c r="I34" s="66"/>
      <c r="J34" s="65"/>
    </row>
    <row r="35" spans="1:10" ht="13.5">
      <c r="A35" s="63"/>
      <c r="B35" s="64"/>
      <c r="C35" s="64"/>
      <c r="D35" s="64"/>
      <c r="E35" s="65"/>
      <c r="F35" s="63"/>
      <c r="G35" s="66"/>
      <c r="H35" s="66"/>
      <c r="I35" s="66"/>
      <c r="J35" s="65"/>
    </row>
    <row r="36" spans="1:10" ht="13.5">
      <c r="A36" s="63"/>
      <c r="B36" s="64"/>
      <c r="C36" s="64"/>
      <c r="D36" s="64"/>
      <c r="E36" s="65"/>
      <c r="F36" s="63"/>
      <c r="G36" s="66"/>
      <c r="H36" s="66"/>
      <c r="I36" s="66"/>
      <c r="J36" s="65"/>
    </row>
    <row r="37" spans="1:10" ht="13.5">
      <c r="A37" s="63"/>
      <c r="B37" s="64"/>
      <c r="C37" s="64"/>
      <c r="D37" s="64"/>
      <c r="E37" s="65"/>
      <c r="F37" s="63"/>
      <c r="G37" s="66"/>
      <c r="H37" s="66"/>
      <c r="I37" s="66"/>
      <c r="J37" s="65"/>
    </row>
    <row r="38" spans="1:10" ht="13.5">
      <c r="A38" s="63"/>
      <c r="B38" s="64"/>
      <c r="C38" s="64"/>
      <c r="D38" s="64"/>
      <c r="E38" s="65"/>
      <c r="F38" s="63"/>
      <c r="G38" s="66"/>
      <c r="H38" s="66"/>
      <c r="I38" s="66"/>
      <c r="J38" s="65"/>
    </row>
    <row r="39" spans="1:10" ht="13.5">
      <c r="A39" s="63"/>
      <c r="B39" s="64"/>
      <c r="C39" s="64"/>
      <c r="D39" s="64"/>
      <c r="E39" s="65"/>
      <c r="F39" s="60"/>
      <c r="G39" s="61"/>
      <c r="H39" s="61"/>
      <c r="I39" s="61"/>
      <c r="J39" s="62"/>
    </row>
    <row r="40" spans="1:10" ht="13.5">
      <c r="A40" s="63"/>
      <c r="B40" s="64"/>
      <c r="C40" s="64"/>
      <c r="D40" s="64"/>
      <c r="E40" s="65"/>
      <c r="F40" s="63"/>
      <c r="G40" s="64"/>
      <c r="H40" s="64"/>
      <c r="I40" s="64"/>
      <c r="J40" s="65"/>
    </row>
    <row r="41" spans="1:10" ht="13.5">
      <c r="A41" s="63"/>
      <c r="B41" s="64"/>
      <c r="C41" s="64"/>
      <c r="D41" s="64"/>
      <c r="E41" s="65"/>
      <c r="F41" s="63"/>
      <c r="G41" s="64"/>
      <c r="H41" s="64"/>
      <c r="I41" s="64"/>
      <c r="J41" s="65"/>
    </row>
    <row r="42" spans="1:10" ht="13.5">
      <c r="A42" s="63"/>
      <c r="B42" s="64"/>
      <c r="C42" s="64"/>
      <c r="D42" s="64"/>
      <c r="E42" s="65"/>
      <c r="F42" s="63"/>
      <c r="G42" s="64"/>
      <c r="H42" s="64"/>
      <c r="I42" s="64"/>
      <c r="J42" s="65"/>
    </row>
    <row r="43" spans="1:10" ht="13.5">
      <c r="A43" s="63"/>
      <c r="B43" s="64"/>
      <c r="C43" s="64"/>
      <c r="D43" s="64"/>
      <c r="E43" s="65"/>
      <c r="F43" s="63"/>
      <c r="G43" s="64"/>
      <c r="H43" s="64"/>
      <c r="I43" s="64"/>
      <c r="J43" s="65"/>
    </row>
    <row r="44" spans="1:10" ht="13.5">
      <c r="A44" s="63"/>
      <c r="B44" s="64"/>
      <c r="C44" s="64"/>
      <c r="D44" s="64"/>
      <c r="E44" s="65"/>
      <c r="F44" s="63"/>
      <c r="G44" s="64"/>
      <c r="H44" s="64"/>
      <c r="I44" s="64"/>
      <c r="J44" s="65"/>
    </row>
    <row r="45" spans="1:10" ht="13.5">
      <c r="A45" s="63"/>
      <c r="B45" s="64"/>
      <c r="C45" s="64"/>
      <c r="D45" s="64"/>
      <c r="E45" s="65"/>
      <c r="F45" s="63"/>
      <c r="G45" s="64"/>
      <c r="H45" s="64"/>
      <c r="I45" s="64"/>
      <c r="J45" s="65"/>
    </row>
    <row r="46" spans="1:10" ht="13.5">
      <c r="A46" s="63"/>
      <c r="B46" s="64"/>
      <c r="C46" s="64"/>
      <c r="D46" s="64"/>
      <c r="E46" s="65"/>
      <c r="F46" s="63"/>
      <c r="G46" s="64"/>
      <c r="H46" s="64"/>
      <c r="I46" s="64"/>
      <c r="J46" s="65"/>
    </row>
    <row r="47" spans="1:10" ht="13.5">
      <c r="A47" s="63"/>
      <c r="B47" s="64"/>
      <c r="C47" s="64"/>
      <c r="D47" s="64"/>
      <c r="E47" s="65"/>
      <c r="F47" s="63"/>
      <c r="G47" s="64"/>
      <c r="H47" s="64"/>
      <c r="I47" s="64"/>
      <c r="J47" s="65"/>
    </row>
    <row r="48" spans="1:10" ht="13.5">
      <c r="A48" s="63"/>
      <c r="B48" s="64"/>
      <c r="C48" s="64"/>
      <c r="D48" s="64"/>
      <c r="E48" s="65"/>
      <c r="F48" s="63"/>
      <c r="G48" s="64"/>
      <c r="H48" s="64"/>
      <c r="I48" s="64"/>
      <c r="J48" s="65"/>
    </row>
    <row r="49" spans="1:10" ht="13.5">
      <c r="A49" s="63"/>
      <c r="B49" s="64"/>
      <c r="C49" s="64"/>
      <c r="D49" s="64"/>
      <c r="E49" s="65"/>
      <c r="F49" s="67"/>
      <c r="G49" s="68"/>
      <c r="H49" s="68"/>
      <c r="I49" s="68"/>
      <c r="J49" s="69"/>
    </row>
    <row r="50" spans="1:10" ht="13.5">
      <c r="A50" s="63"/>
      <c r="B50" s="64"/>
      <c r="C50" s="64"/>
      <c r="D50" s="64"/>
      <c r="E50" s="65"/>
      <c r="F50" s="60"/>
      <c r="G50" s="61"/>
      <c r="H50" s="61"/>
      <c r="I50" s="61"/>
      <c r="J50" s="62"/>
    </row>
    <row r="51" spans="1:10" ht="13.5">
      <c r="A51" s="63"/>
      <c r="B51" s="64"/>
      <c r="C51" s="64"/>
      <c r="D51" s="64"/>
      <c r="E51" s="65"/>
      <c r="F51" s="63"/>
      <c r="G51" s="64"/>
      <c r="H51" s="64"/>
      <c r="I51" s="64"/>
      <c r="J51" s="65"/>
    </row>
    <row r="52" spans="1:10" ht="13.5">
      <c r="A52" s="63"/>
      <c r="B52" s="64"/>
      <c r="C52" s="64"/>
      <c r="D52" s="64"/>
      <c r="E52" s="65"/>
      <c r="F52" s="63"/>
      <c r="G52" s="64"/>
      <c r="H52" s="64"/>
      <c r="I52" s="64"/>
      <c r="J52" s="65"/>
    </row>
    <row r="53" spans="1:10" ht="13.5">
      <c r="A53" s="63"/>
      <c r="B53" s="64"/>
      <c r="C53" s="64"/>
      <c r="D53" s="64"/>
      <c r="E53" s="65"/>
      <c r="F53" s="63"/>
      <c r="G53" s="64"/>
      <c r="H53" s="64"/>
      <c r="I53" s="64"/>
      <c r="J53" s="65"/>
    </row>
    <row r="54" spans="1:10" ht="13.5">
      <c r="A54" s="63"/>
      <c r="B54" s="64"/>
      <c r="C54" s="64"/>
      <c r="D54" s="64"/>
      <c r="E54" s="65"/>
      <c r="F54" s="63"/>
      <c r="G54" s="64"/>
      <c r="H54" s="64"/>
      <c r="I54" s="64"/>
      <c r="J54" s="65"/>
    </row>
    <row r="55" spans="1:10" ht="13.5">
      <c r="A55" s="63"/>
      <c r="B55" s="64"/>
      <c r="C55" s="64"/>
      <c r="D55" s="64"/>
      <c r="E55" s="65"/>
      <c r="F55" s="63"/>
      <c r="G55" s="64"/>
      <c r="H55" s="64"/>
      <c r="I55" s="64"/>
      <c r="J55" s="65"/>
    </row>
    <row r="56" spans="1:10" ht="13.5">
      <c r="A56" s="63"/>
      <c r="B56" s="64"/>
      <c r="C56" s="64"/>
      <c r="D56" s="64"/>
      <c r="E56" s="65"/>
      <c r="F56" s="63"/>
      <c r="G56" s="64"/>
      <c r="H56" s="64"/>
      <c r="I56" s="64"/>
      <c r="J56" s="65"/>
    </row>
    <row r="57" spans="1:10" ht="13.5">
      <c r="A57" s="63"/>
      <c r="B57" s="64"/>
      <c r="C57" s="64"/>
      <c r="D57" s="64"/>
      <c r="E57" s="65"/>
      <c r="F57" s="63"/>
      <c r="G57" s="64"/>
      <c r="H57" s="64"/>
      <c r="I57" s="64"/>
      <c r="J57" s="65"/>
    </row>
    <row r="58" spans="1:10" ht="13.5">
      <c r="A58" s="63"/>
      <c r="B58" s="64"/>
      <c r="C58" s="64"/>
      <c r="D58" s="64"/>
      <c r="E58" s="65"/>
      <c r="F58" s="63"/>
      <c r="G58" s="64"/>
      <c r="H58" s="64"/>
      <c r="I58" s="64"/>
      <c r="J58" s="65"/>
    </row>
    <row r="59" spans="1:10" ht="13.5">
      <c r="A59" s="63"/>
      <c r="B59" s="64"/>
      <c r="C59" s="64"/>
      <c r="D59" s="64"/>
      <c r="E59" s="65"/>
      <c r="F59" s="63"/>
      <c r="G59" s="64"/>
      <c r="H59" s="64"/>
      <c r="I59" s="64"/>
      <c r="J59" s="65"/>
    </row>
    <row r="60" spans="1:10" ht="13.5">
      <c r="A60" s="63"/>
      <c r="B60" s="64"/>
      <c r="C60" s="64"/>
      <c r="D60" s="64"/>
      <c r="E60" s="65"/>
      <c r="F60" s="63"/>
      <c r="G60" s="64"/>
      <c r="H60" s="64"/>
      <c r="I60" s="64"/>
      <c r="J60" s="65"/>
    </row>
    <row r="61" spans="1:10" ht="13.5">
      <c r="A61" s="83"/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3.5">
      <c r="A62" s="74" t="s">
        <v>205</v>
      </c>
      <c r="B62" s="74"/>
      <c r="C62" s="74"/>
      <c r="D62" s="74"/>
      <c r="E62" s="74"/>
      <c r="F62" s="74"/>
      <c r="G62" s="74"/>
      <c r="H62" s="74"/>
      <c r="I62" s="74"/>
      <c r="J62" s="74"/>
    </row>
    <row r="63" spans="1:10" ht="13.5">
      <c r="A63" s="82" t="s">
        <v>206</v>
      </c>
      <c r="B63" s="75"/>
      <c r="C63" s="75"/>
      <c r="D63" s="75"/>
      <c r="E63" s="75"/>
      <c r="F63" s="75"/>
      <c r="G63" s="75"/>
      <c r="H63" s="75"/>
      <c r="I63" s="75"/>
      <c r="J63" s="75"/>
    </row>
    <row r="64" spans="1:10" ht="13.5">
      <c r="A64" s="118" t="s">
        <v>228</v>
      </c>
      <c r="B64" s="59"/>
      <c r="C64" s="59"/>
      <c r="D64" s="59"/>
      <c r="E64" s="59"/>
      <c r="F64" s="59"/>
      <c r="G64" s="59"/>
      <c r="H64" s="59"/>
      <c r="I64" s="59"/>
      <c r="J64" s="59"/>
    </row>
    <row r="65" spans="1:10" ht="13.5">
      <c r="A65" s="70"/>
      <c r="B65" s="70"/>
      <c r="C65" s="70"/>
      <c r="D65" s="70"/>
      <c r="E65" s="70"/>
      <c r="F65" s="70"/>
      <c r="G65" s="70"/>
      <c r="H65" s="70"/>
      <c r="I65" s="70"/>
      <c r="J65" s="70"/>
    </row>
    <row r="66" spans="1:10" ht="14.25">
      <c r="A66" s="86" t="s">
        <v>198</v>
      </c>
      <c r="B66" s="61"/>
      <c r="C66" s="61"/>
      <c r="D66" s="61"/>
      <c r="E66" s="62"/>
      <c r="F66" s="86" t="s">
        <v>199</v>
      </c>
      <c r="G66" s="61"/>
      <c r="H66" s="61"/>
      <c r="I66" s="61"/>
      <c r="J66" s="62"/>
    </row>
    <row r="67" spans="1:10" ht="13.5">
      <c r="A67" s="32"/>
      <c r="B67" s="33"/>
      <c r="C67" s="33"/>
      <c r="D67" s="33"/>
      <c r="E67" s="34"/>
      <c r="F67" s="32"/>
      <c r="G67" s="33"/>
      <c r="H67" s="33"/>
      <c r="I67" s="33"/>
      <c r="J67" s="34"/>
    </row>
    <row r="68" spans="1:10" ht="13.5">
      <c r="A68" s="32"/>
      <c r="B68" s="33"/>
      <c r="C68" s="33"/>
      <c r="D68" s="33"/>
      <c r="E68" s="34"/>
      <c r="F68" s="32"/>
      <c r="G68" s="33"/>
      <c r="H68" s="33"/>
      <c r="I68" s="33"/>
      <c r="J68" s="34"/>
    </row>
    <row r="69" spans="1:10" ht="13.5">
      <c r="A69" s="32"/>
      <c r="B69" s="33"/>
      <c r="C69" s="33"/>
      <c r="D69" s="33"/>
      <c r="E69" s="34"/>
      <c r="F69" s="32"/>
      <c r="G69" s="33"/>
      <c r="H69" s="33"/>
      <c r="I69" s="33"/>
      <c r="J69" s="34"/>
    </row>
    <row r="70" spans="1:10" ht="13.5">
      <c r="A70" s="35"/>
      <c r="B70" s="36"/>
      <c r="C70" s="36"/>
      <c r="D70" s="36"/>
      <c r="E70" s="37"/>
      <c r="F70" s="35"/>
      <c r="G70" s="36"/>
      <c r="H70" s="36"/>
      <c r="I70" s="36"/>
      <c r="J70" s="37"/>
    </row>
    <row r="71" spans="1:10" ht="13.5">
      <c r="A71" s="35"/>
      <c r="B71" s="36"/>
      <c r="C71" s="36"/>
      <c r="D71" s="36"/>
      <c r="E71" s="37"/>
      <c r="F71" s="35"/>
      <c r="G71" s="36"/>
      <c r="H71" s="36"/>
      <c r="I71" s="36"/>
      <c r="J71" s="37"/>
    </row>
    <row r="72" spans="1:10" ht="13.5">
      <c r="A72" s="35"/>
      <c r="B72" s="36"/>
      <c r="C72" s="36"/>
      <c r="D72" s="36"/>
      <c r="E72" s="37"/>
      <c r="F72" s="35"/>
      <c r="G72" s="36"/>
      <c r="H72" s="36"/>
      <c r="I72" s="36"/>
      <c r="J72" s="37"/>
    </row>
    <row r="73" spans="1:10" ht="13.5">
      <c r="A73" s="35"/>
      <c r="B73" s="36"/>
      <c r="C73" s="36"/>
      <c r="D73" s="36"/>
      <c r="E73" s="37"/>
      <c r="F73" s="35"/>
      <c r="G73" s="36"/>
      <c r="H73" s="36"/>
      <c r="I73" s="36"/>
      <c r="J73" s="37"/>
    </row>
    <row r="74" spans="1:10" ht="13.5">
      <c r="A74" s="35"/>
      <c r="B74" s="36"/>
      <c r="C74" s="36"/>
      <c r="D74" s="36"/>
      <c r="E74" s="37"/>
      <c r="F74" s="35"/>
      <c r="G74" s="36"/>
      <c r="H74" s="36"/>
      <c r="I74" s="36"/>
      <c r="J74" s="37"/>
    </row>
    <row r="75" spans="1:10" ht="13.5">
      <c r="A75" s="35"/>
      <c r="B75" s="36"/>
      <c r="C75" s="36"/>
      <c r="D75" s="36"/>
      <c r="E75" s="37"/>
      <c r="F75" s="35"/>
      <c r="G75" s="36"/>
      <c r="H75" s="36"/>
      <c r="I75" s="36"/>
      <c r="J75" s="37"/>
    </row>
    <row r="76" spans="1:10" ht="13.5">
      <c r="A76" s="35"/>
      <c r="B76" s="36"/>
      <c r="C76" s="36"/>
      <c r="D76" s="36"/>
      <c r="E76" s="37"/>
      <c r="F76" s="35"/>
      <c r="G76" s="36"/>
      <c r="H76" s="36"/>
      <c r="I76" s="36"/>
      <c r="J76" s="37"/>
    </row>
    <row r="77" spans="1:10" ht="13.5">
      <c r="A77" s="35"/>
      <c r="B77" s="36"/>
      <c r="C77" s="36"/>
      <c r="D77" s="36"/>
      <c r="E77" s="37"/>
      <c r="F77" s="35"/>
      <c r="G77" s="36"/>
      <c r="H77" s="36"/>
      <c r="I77" s="36"/>
      <c r="J77" s="37"/>
    </row>
    <row r="78" spans="1:10" ht="13.5">
      <c r="A78" s="35"/>
      <c r="B78" s="36"/>
      <c r="C78" s="36"/>
      <c r="D78" s="36"/>
      <c r="E78" s="37"/>
      <c r="F78" s="35"/>
      <c r="G78" s="36"/>
      <c r="H78" s="36"/>
      <c r="I78" s="36"/>
      <c r="J78" s="37"/>
    </row>
    <row r="79" spans="1:10" ht="13.5">
      <c r="A79" s="35"/>
      <c r="B79" s="36"/>
      <c r="C79" s="36"/>
      <c r="D79" s="36"/>
      <c r="E79" s="37"/>
      <c r="F79" s="35"/>
      <c r="G79" s="36"/>
      <c r="H79" s="36"/>
      <c r="I79" s="36"/>
      <c r="J79" s="37"/>
    </row>
    <row r="80" spans="1:10" ht="13.5">
      <c r="A80" s="35"/>
      <c r="B80" s="36"/>
      <c r="C80" s="36"/>
      <c r="D80" s="36"/>
      <c r="E80" s="37"/>
      <c r="F80" s="35"/>
      <c r="G80" s="36"/>
      <c r="H80" s="36"/>
      <c r="I80" s="36"/>
      <c r="J80" s="37"/>
    </row>
    <row r="81" spans="1:10" ht="13.5">
      <c r="A81" s="35"/>
      <c r="B81" s="36"/>
      <c r="C81" s="36"/>
      <c r="D81" s="36"/>
      <c r="E81" s="37"/>
      <c r="F81" s="35"/>
      <c r="G81" s="36"/>
      <c r="H81" s="36"/>
      <c r="I81" s="36"/>
      <c r="J81" s="37"/>
    </row>
    <row r="82" spans="1:10" ht="13.5">
      <c r="A82" s="35"/>
      <c r="B82" s="36"/>
      <c r="C82" s="36"/>
      <c r="D82" s="36"/>
      <c r="E82" s="37"/>
      <c r="F82" s="35"/>
      <c r="G82" s="36"/>
      <c r="H82" s="36"/>
      <c r="I82" s="36"/>
      <c r="J82" s="37"/>
    </row>
    <row r="83" spans="1:10" ht="13.5">
      <c r="A83" s="35"/>
      <c r="B83" s="36"/>
      <c r="C83" s="36"/>
      <c r="D83" s="36"/>
      <c r="E83" s="37"/>
      <c r="F83" s="35"/>
      <c r="G83" s="36"/>
      <c r="H83" s="36"/>
      <c r="I83" s="36"/>
      <c r="J83" s="37"/>
    </row>
    <row r="84" spans="1:10" ht="13.5">
      <c r="A84" s="35"/>
      <c r="B84" s="36"/>
      <c r="C84" s="36"/>
      <c r="D84" s="36"/>
      <c r="E84" s="37"/>
      <c r="F84" s="35"/>
      <c r="G84" s="36"/>
      <c r="H84" s="36"/>
      <c r="I84" s="36"/>
      <c r="J84" s="37"/>
    </row>
    <row r="85" spans="1:10" ht="13.5">
      <c r="A85" s="35"/>
      <c r="B85" s="36"/>
      <c r="C85" s="36"/>
      <c r="D85" s="36"/>
      <c r="E85" s="37"/>
      <c r="F85" s="35"/>
      <c r="G85" s="36"/>
      <c r="H85" s="36"/>
      <c r="I85" s="36"/>
      <c r="J85" s="37"/>
    </row>
    <row r="86" spans="1:10" ht="13.5">
      <c r="A86" s="35"/>
      <c r="B86" s="36"/>
      <c r="C86" s="36"/>
      <c r="D86" s="36"/>
      <c r="E86" s="37"/>
      <c r="F86" s="35"/>
      <c r="G86" s="36"/>
      <c r="H86" s="36"/>
      <c r="I86" s="36"/>
      <c r="J86" s="37"/>
    </row>
    <row r="87" spans="1:10" ht="13.5">
      <c r="A87" s="35"/>
      <c r="B87" s="36"/>
      <c r="C87" s="36"/>
      <c r="D87" s="36"/>
      <c r="E87" s="37"/>
      <c r="F87" s="35"/>
      <c r="G87" s="36"/>
      <c r="H87" s="36"/>
      <c r="I87" s="36"/>
      <c r="J87" s="37"/>
    </row>
    <row r="88" spans="1:10" ht="13.5">
      <c r="A88" s="35"/>
      <c r="B88" s="36"/>
      <c r="C88" s="36"/>
      <c r="D88" s="36"/>
      <c r="E88" s="37"/>
      <c r="F88" s="35"/>
      <c r="G88" s="36"/>
      <c r="H88" s="36"/>
      <c r="I88" s="36"/>
      <c r="J88" s="37"/>
    </row>
    <row r="89" spans="1:10" ht="13.5">
      <c r="A89" s="35"/>
      <c r="B89" s="36"/>
      <c r="C89" s="36"/>
      <c r="D89" s="36"/>
      <c r="E89" s="37"/>
      <c r="F89" s="35"/>
      <c r="G89" s="36"/>
      <c r="H89" s="36"/>
      <c r="I89" s="36"/>
      <c r="J89" s="37"/>
    </row>
    <row r="90" spans="1:10" ht="13.5">
      <c r="A90" s="35"/>
      <c r="B90" s="36"/>
      <c r="C90" s="36"/>
      <c r="D90" s="36"/>
      <c r="E90" s="37"/>
      <c r="F90" s="35"/>
      <c r="G90" s="36"/>
      <c r="H90" s="36"/>
      <c r="I90" s="36"/>
      <c r="J90" s="37"/>
    </row>
    <row r="91" spans="1:10" ht="13.5">
      <c r="A91" s="35"/>
      <c r="B91" s="36"/>
      <c r="C91" s="36"/>
      <c r="D91" s="36"/>
      <c r="E91" s="37"/>
      <c r="F91" s="35"/>
      <c r="G91" s="36"/>
      <c r="H91" s="36"/>
      <c r="I91" s="36"/>
      <c r="J91" s="37"/>
    </row>
    <row r="92" spans="1:10" ht="13.5">
      <c r="A92" s="35"/>
      <c r="B92" s="36"/>
      <c r="C92" s="36"/>
      <c r="D92" s="36"/>
      <c r="E92" s="37"/>
      <c r="F92" s="35"/>
      <c r="G92" s="36"/>
      <c r="H92" s="36"/>
      <c r="I92" s="36"/>
      <c r="J92" s="37"/>
    </row>
    <row r="93" spans="1:10" ht="13.5">
      <c r="A93" s="35"/>
      <c r="B93" s="36"/>
      <c r="C93" s="36"/>
      <c r="D93" s="36"/>
      <c r="E93" s="37"/>
      <c r="F93" s="35"/>
      <c r="G93" s="36"/>
      <c r="H93" s="36"/>
      <c r="I93" s="36"/>
      <c r="J93" s="37"/>
    </row>
    <row r="94" spans="1:10" ht="13.5">
      <c r="A94" s="35"/>
      <c r="B94" s="36"/>
      <c r="C94" s="36"/>
      <c r="D94" s="36"/>
      <c r="E94" s="37"/>
      <c r="F94" s="35"/>
      <c r="G94" s="36"/>
      <c r="H94" s="36"/>
      <c r="I94" s="36"/>
      <c r="J94" s="37"/>
    </row>
    <row r="95" spans="1:10" ht="16.5" customHeight="1">
      <c r="A95" s="35"/>
      <c r="B95" s="36"/>
      <c r="C95" s="36"/>
      <c r="D95" s="36"/>
      <c r="E95" s="37"/>
      <c r="F95" s="35"/>
      <c r="G95" s="36"/>
      <c r="H95" s="36"/>
      <c r="I95" s="36"/>
      <c r="J95" s="37"/>
    </row>
    <row r="96" spans="1:10" ht="16.5" customHeight="1">
      <c r="A96" s="35"/>
      <c r="B96" s="36"/>
      <c r="C96" s="36"/>
      <c r="D96" s="36"/>
      <c r="E96" s="37"/>
      <c r="F96" s="35"/>
      <c r="G96" s="36"/>
      <c r="H96" s="36"/>
      <c r="I96" s="36"/>
      <c r="J96" s="37"/>
    </row>
    <row r="97" spans="1:10" ht="16.5" customHeight="1">
      <c r="A97" s="38"/>
      <c r="B97" s="39"/>
      <c r="C97" s="39"/>
      <c r="D97" s="39"/>
      <c r="E97" s="40"/>
      <c r="F97" s="38"/>
      <c r="G97" s="39"/>
      <c r="H97" s="39"/>
      <c r="I97" s="39"/>
      <c r="J97" s="40"/>
    </row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</sheetData>
  <sheetProtection password="BF23" sheet="1"/>
  <mergeCells count="48">
    <mergeCell ref="A62:J62"/>
    <mergeCell ref="A63:J63"/>
    <mergeCell ref="A64:J64"/>
    <mergeCell ref="A65:J65"/>
    <mergeCell ref="A61:J61"/>
    <mergeCell ref="A66:E66"/>
    <mergeCell ref="F66:J66"/>
    <mergeCell ref="A2:B2"/>
    <mergeCell ref="A3:B3"/>
    <mergeCell ref="A4:B4"/>
    <mergeCell ref="A5:B5"/>
    <mergeCell ref="A6:B6"/>
    <mergeCell ref="A7:B7"/>
    <mergeCell ref="A8:B8"/>
    <mergeCell ref="C6:J6"/>
    <mergeCell ref="C7:J7"/>
    <mergeCell ref="C8:J8"/>
    <mergeCell ref="C9:J9"/>
    <mergeCell ref="C10:J10"/>
    <mergeCell ref="C11:J11"/>
    <mergeCell ref="A15:J15"/>
    <mergeCell ref="A16:J16"/>
    <mergeCell ref="A13:J13"/>
    <mergeCell ref="A14:J14"/>
    <mergeCell ref="A1:J1"/>
    <mergeCell ref="A12:J12"/>
    <mergeCell ref="A10:B10"/>
    <mergeCell ref="A11:B11"/>
    <mergeCell ref="C2:J2"/>
    <mergeCell ref="C3:J3"/>
    <mergeCell ref="C4:J4"/>
    <mergeCell ref="C5:J5"/>
    <mergeCell ref="A9:B9"/>
    <mergeCell ref="A26:J26"/>
    <mergeCell ref="A25:J25"/>
    <mergeCell ref="A17:J17"/>
    <mergeCell ref="A18:J18"/>
    <mergeCell ref="A20:J20"/>
    <mergeCell ref="A21:J21"/>
    <mergeCell ref="A19:J19"/>
    <mergeCell ref="A28:E60"/>
    <mergeCell ref="F28:J38"/>
    <mergeCell ref="F39:J49"/>
    <mergeCell ref="F50:J60"/>
    <mergeCell ref="A22:J22"/>
    <mergeCell ref="A23:J23"/>
    <mergeCell ref="A24:J24"/>
    <mergeCell ref="A27:J27"/>
  </mergeCells>
  <printOptions horizontalCentered="1"/>
  <pageMargins left="0.7874015748031497" right="0.3937007874015748" top="0.6692913385826772" bottom="0.5511811023622047" header="0.3937007874015748" footer="0.3937007874015748"/>
  <pageSetup horizontalDpi="600" verticalDpi="600" orientation="portrait" paperSize="9" r:id="rId2"/>
  <headerFooter alignWithMargins="0">
    <oddHeader>&amp;C&amp;16Ｓ－７００Ｄｉ　Improvement method&amp;R2014-05-21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24" width="11.125" style="0" customWidth="1"/>
  </cols>
  <sheetData>
    <row r="1" spans="1:9" ht="15" customHeight="1">
      <c r="A1" s="101" t="s">
        <v>16</v>
      </c>
      <c r="B1" s="102"/>
      <c r="C1" s="102"/>
      <c r="D1" s="102"/>
      <c r="E1" s="102"/>
      <c r="F1" s="103"/>
      <c r="G1" s="24" t="s">
        <v>17</v>
      </c>
      <c r="H1" s="25" t="s">
        <v>18</v>
      </c>
      <c r="I1" s="41" t="s">
        <v>3</v>
      </c>
    </row>
    <row r="2" spans="1:16" ht="15" customHeight="1">
      <c r="A2" s="17"/>
      <c r="B2" s="18"/>
      <c r="C2" s="18"/>
      <c r="D2" s="18"/>
      <c r="E2" s="18"/>
      <c r="F2" s="18"/>
      <c r="G2" s="18"/>
      <c r="H2" s="19"/>
      <c r="I2" s="42" t="s">
        <v>4</v>
      </c>
      <c r="J2" s="1"/>
      <c r="K2" s="1"/>
      <c r="L2" s="1"/>
      <c r="M2" s="1"/>
      <c r="N2" s="1"/>
      <c r="O2" s="1"/>
      <c r="P2" s="1"/>
    </row>
    <row r="3" spans="1:16" ht="15" customHeight="1">
      <c r="A3" s="20"/>
      <c r="B3" s="21"/>
      <c r="C3" s="21"/>
      <c r="D3" s="21"/>
      <c r="E3" s="21"/>
      <c r="F3" s="21"/>
      <c r="G3" s="21"/>
      <c r="H3" s="22"/>
      <c r="I3" s="1" t="s">
        <v>5</v>
      </c>
      <c r="J3" s="1"/>
      <c r="K3" s="1"/>
      <c r="L3" s="1"/>
      <c r="M3" s="1"/>
      <c r="N3" s="1"/>
      <c r="O3" s="1"/>
      <c r="P3" s="1"/>
    </row>
    <row r="4" spans="1:16" ht="15" customHeight="1">
      <c r="A4" s="20"/>
      <c r="B4" s="21"/>
      <c r="C4" s="21"/>
      <c r="D4" s="21"/>
      <c r="E4" s="21"/>
      <c r="F4" s="21"/>
      <c r="G4" s="21"/>
      <c r="H4" s="22"/>
      <c r="I4" s="1" t="s">
        <v>6</v>
      </c>
      <c r="J4" s="1"/>
      <c r="K4" s="1"/>
      <c r="L4" s="1"/>
      <c r="M4" s="1"/>
      <c r="N4" s="1"/>
      <c r="O4" s="1"/>
      <c r="P4" s="1"/>
    </row>
    <row r="5" spans="1:16" ht="15" customHeight="1">
      <c r="A5" s="20"/>
      <c r="B5" s="21"/>
      <c r="C5" s="21"/>
      <c r="D5" s="21"/>
      <c r="E5" s="21"/>
      <c r="F5" s="21"/>
      <c r="G5" s="21"/>
      <c r="H5" s="22"/>
      <c r="I5" s="1" t="s">
        <v>7</v>
      </c>
      <c r="J5" s="1"/>
      <c r="K5" s="1"/>
      <c r="L5" s="1"/>
      <c r="M5" s="1"/>
      <c r="N5" s="1"/>
      <c r="O5" s="1"/>
      <c r="P5" s="1"/>
    </row>
    <row r="6" spans="1:16" ht="15" customHeight="1">
      <c r="A6" s="20"/>
      <c r="B6" s="21"/>
      <c r="C6" s="21"/>
      <c r="D6" s="21"/>
      <c r="E6" s="21"/>
      <c r="F6" s="21"/>
      <c r="G6" s="21"/>
      <c r="H6" s="22"/>
      <c r="I6" s="42" t="s">
        <v>8</v>
      </c>
      <c r="J6" s="1"/>
      <c r="K6" s="1"/>
      <c r="L6" s="1"/>
      <c r="M6" s="1"/>
      <c r="N6" s="1"/>
      <c r="O6" s="1"/>
      <c r="P6" s="1"/>
    </row>
    <row r="7" spans="1:16" ht="15" customHeight="1">
      <c r="A7" s="20"/>
      <c r="B7" s="21"/>
      <c r="C7" s="21"/>
      <c r="D7" s="21"/>
      <c r="E7" s="21"/>
      <c r="F7" s="21"/>
      <c r="G7" s="21"/>
      <c r="H7" s="22"/>
      <c r="I7" s="1" t="s">
        <v>9</v>
      </c>
      <c r="J7" s="1"/>
      <c r="K7" s="1"/>
      <c r="L7" s="1"/>
      <c r="M7" s="1"/>
      <c r="N7" s="1"/>
      <c r="O7" s="1"/>
      <c r="P7" s="1"/>
    </row>
    <row r="8" spans="1:16" ht="15" customHeight="1">
      <c r="A8" s="20"/>
      <c r="B8" s="21"/>
      <c r="C8" s="21"/>
      <c r="D8" s="21"/>
      <c r="E8" s="21"/>
      <c r="F8" s="21"/>
      <c r="G8" s="21"/>
      <c r="H8" s="22"/>
      <c r="I8" s="1" t="s">
        <v>10</v>
      </c>
      <c r="J8" s="1"/>
      <c r="K8" s="1"/>
      <c r="L8" s="1"/>
      <c r="M8" s="1"/>
      <c r="N8" s="1"/>
      <c r="O8" s="1"/>
      <c r="P8" s="1"/>
    </row>
    <row r="9" spans="1:16" ht="15" customHeight="1">
      <c r="A9" s="20"/>
      <c r="B9" s="21"/>
      <c r="C9" s="21"/>
      <c r="D9" s="21"/>
      <c r="E9" s="21"/>
      <c r="F9" s="21"/>
      <c r="G9" s="21"/>
      <c r="H9" s="22"/>
      <c r="I9" s="1" t="s">
        <v>11</v>
      </c>
      <c r="J9" s="1"/>
      <c r="K9" s="1"/>
      <c r="L9" s="1"/>
      <c r="M9" s="1"/>
      <c r="N9" s="1"/>
      <c r="O9" s="1"/>
      <c r="P9" s="1"/>
    </row>
    <row r="10" spans="1:16" ht="15" customHeight="1">
      <c r="A10" s="20"/>
      <c r="B10" s="21"/>
      <c r="C10" s="21"/>
      <c r="D10" s="21"/>
      <c r="E10" s="21"/>
      <c r="F10" s="21"/>
      <c r="G10" s="21"/>
      <c r="H10" s="22"/>
      <c r="I10" s="1" t="s">
        <v>12</v>
      </c>
      <c r="J10" s="1"/>
      <c r="K10" s="1"/>
      <c r="L10" s="1"/>
      <c r="M10" s="1"/>
      <c r="N10" s="1"/>
      <c r="O10" s="1"/>
      <c r="P10" s="1"/>
    </row>
    <row r="11" spans="1:16" ht="15" customHeight="1">
      <c r="A11" s="20"/>
      <c r="B11" s="21"/>
      <c r="C11" s="21"/>
      <c r="D11" s="21"/>
      <c r="E11" s="21"/>
      <c r="F11" s="21"/>
      <c r="G11" s="21"/>
      <c r="H11" s="22"/>
      <c r="I11" s="1" t="s">
        <v>13</v>
      </c>
      <c r="J11" s="1"/>
      <c r="K11" s="1"/>
      <c r="L11" s="1"/>
      <c r="M11" s="1"/>
      <c r="N11" s="1"/>
      <c r="O11" s="1"/>
      <c r="P11" s="1"/>
    </row>
    <row r="12" spans="1:16" ht="15" customHeight="1">
      <c r="A12" s="20"/>
      <c r="B12" s="21"/>
      <c r="C12" s="21"/>
      <c r="D12" s="21"/>
      <c r="E12" s="21"/>
      <c r="F12" s="21"/>
      <c r="G12" s="21"/>
      <c r="H12" s="22"/>
      <c r="I12" s="1" t="s">
        <v>14</v>
      </c>
      <c r="J12" s="1"/>
      <c r="K12" s="1"/>
      <c r="L12" s="1"/>
      <c r="M12" s="1"/>
      <c r="N12" s="1"/>
      <c r="O12" s="1"/>
      <c r="P12" s="1"/>
    </row>
    <row r="13" spans="1:16" ht="15" customHeight="1">
      <c r="A13" s="20"/>
      <c r="B13" s="21"/>
      <c r="C13" s="21"/>
      <c r="D13" s="21"/>
      <c r="E13" s="21"/>
      <c r="F13" s="21"/>
      <c r="G13" s="21"/>
      <c r="H13" s="22"/>
      <c r="I13" s="1" t="s">
        <v>15</v>
      </c>
      <c r="J13" s="1"/>
      <c r="K13" s="1"/>
      <c r="L13" s="1"/>
      <c r="M13" s="1"/>
      <c r="N13" s="1"/>
      <c r="O13" s="1"/>
      <c r="P13" s="1"/>
    </row>
    <row r="14" spans="1:16" ht="15" customHeight="1">
      <c r="A14" s="20"/>
      <c r="B14" s="21"/>
      <c r="C14" s="21"/>
      <c r="D14" s="21"/>
      <c r="E14" s="21"/>
      <c r="F14" s="21"/>
      <c r="G14" s="21"/>
      <c r="H14" s="22"/>
      <c r="I14" s="42" t="s">
        <v>214</v>
      </c>
      <c r="J14" s="1"/>
      <c r="K14" s="1"/>
      <c r="L14" s="1"/>
      <c r="M14" s="1"/>
      <c r="N14" s="1"/>
      <c r="O14" s="1"/>
      <c r="P14" s="1"/>
    </row>
    <row r="15" spans="1:16" ht="15" customHeight="1">
      <c r="A15" s="20"/>
      <c r="B15" s="21"/>
      <c r="C15" s="21"/>
      <c r="D15" s="21"/>
      <c r="E15" s="21"/>
      <c r="F15" s="21"/>
      <c r="G15" s="21"/>
      <c r="H15" s="22"/>
      <c r="I15" s="1" t="s">
        <v>220</v>
      </c>
      <c r="J15" s="1"/>
      <c r="K15" s="1"/>
      <c r="L15" s="1"/>
      <c r="M15" s="1"/>
      <c r="N15" s="1"/>
      <c r="O15" s="1"/>
      <c r="P15" s="1"/>
    </row>
    <row r="16" spans="1:16" ht="15" customHeight="1">
      <c r="A16" s="9" t="s">
        <v>19</v>
      </c>
      <c r="B16" s="8" t="s">
        <v>20</v>
      </c>
      <c r="C16" s="9" t="s">
        <v>21</v>
      </c>
      <c r="D16" s="2" t="s">
        <v>22</v>
      </c>
      <c r="E16" s="46">
        <v>1090</v>
      </c>
      <c r="F16" s="46">
        <v>4700</v>
      </c>
      <c r="G16" s="95" t="s">
        <v>221</v>
      </c>
      <c r="H16" s="85"/>
      <c r="I16" s="58" t="s">
        <v>216</v>
      </c>
      <c r="J16" s="1"/>
      <c r="K16" s="1"/>
      <c r="L16" s="1"/>
      <c r="M16" s="1"/>
      <c r="N16" s="1"/>
      <c r="O16" s="1"/>
      <c r="P16" s="1"/>
    </row>
    <row r="17" spans="1:16" ht="15" customHeight="1">
      <c r="A17" s="28" t="s">
        <v>23</v>
      </c>
      <c r="B17" s="8" t="s">
        <v>24</v>
      </c>
      <c r="C17" s="9"/>
      <c r="D17" s="2" t="s">
        <v>25</v>
      </c>
      <c r="E17" s="31" t="s">
        <v>73</v>
      </c>
      <c r="F17" s="26"/>
      <c r="G17" s="29" t="s">
        <v>72</v>
      </c>
      <c r="H17" s="57">
        <v>1</v>
      </c>
      <c r="I17" s="1" t="s">
        <v>225</v>
      </c>
      <c r="J17" s="1"/>
      <c r="K17" s="1"/>
      <c r="L17" s="1"/>
      <c r="M17" s="1"/>
      <c r="N17" s="1"/>
      <c r="O17" s="1"/>
      <c r="P17" s="1"/>
    </row>
    <row r="18" spans="1:16" ht="15" customHeight="1">
      <c r="A18" s="104" t="s">
        <v>26</v>
      </c>
      <c r="B18" s="8" t="s">
        <v>27</v>
      </c>
      <c r="C18" s="9" t="s">
        <v>28</v>
      </c>
      <c r="D18" s="2" t="s">
        <v>29</v>
      </c>
      <c r="E18" s="3">
        <f>$H$21*10^3/(2*PI()*$E$16)</f>
        <v>0.9578499327365444</v>
      </c>
      <c r="F18" s="3">
        <f>$H$21*10^3/(2*PI()*$F$16)</f>
        <v>0.2221396652516667</v>
      </c>
      <c r="G18" s="3"/>
      <c r="H18" s="3"/>
      <c r="I18" s="1" t="s">
        <v>222</v>
      </c>
      <c r="J18" s="1"/>
      <c r="K18" s="1"/>
      <c r="L18" s="1"/>
      <c r="M18" s="1"/>
      <c r="N18" s="1"/>
      <c r="O18" s="1"/>
      <c r="P18" s="1"/>
    </row>
    <row r="19" spans="1:16" ht="15" customHeight="1">
      <c r="A19" s="105"/>
      <c r="B19" s="8" t="s">
        <v>30</v>
      </c>
      <c r="C19" s="9" t="s">
        <v>31</v>
      </c>
      <c r="D19" s="52" t="s">
        <v>32</v>
      </c>
      <c r="E19" s="3">
        <f>10^6/(2*PI()*$E$16*$H$21)</f>
        <v>22.258187386984694</v>
      </c>
      <c r="F19" s="3">
        <f>10^6/(2*PI()*$F$16*$H$21)</f>
        <v>5.16200515996028</v>
      </c>
      <c r="G19" s="3"/>
      <c r="H19" s="3"/>
      <c r="I19" s="1" t="s">
        <v>223</v>
      </c>
      <c r="J19" s="1"/>
      <c r="K19" s="1"/>
      <c r="L19" s="1"/>
      <c r="M19" s="1"/>
      <c r="N19" s="1"/>
      <c r="O19" s="1"/>
      <c r="P19" s="1"/>
    </row>
    <row r="20" spans="1:16" ht="12" customHeight="1">
      <c r="A20" s="23" t="s">
        <v>33</v>
      </c>
      <c r="B20" s="99" t="s">
        <v>34</v>
      </c>
      <c r="C20" s="100"/>
      <c r="D20" s="23" t="s">
        <v>35</v>
      </c>
      <c r="E20" s="2" t="s">
        <v>68</v>
      </c>
      <c r="F20" s="2" t="s">
        <v>69</v>
      </c>
      <c r="G20" s="2" t="s">
        <v>70</v>
      </c>
      <c r="H20" s="2" t="s">
        <v>71</v>
      </c>
      <c r="I20" s="1" t="s">
        <v>224</v>
      </c>
      <c r="J20" s="1"/>
      <c r="K20" s="1"/>
      <c r="L20" s="1"/>
      <c r="M20" s="1"/>
      <c r="N20" s="1"/>
      <c r="O20" s="1"/>
      <c r="P20" s="1"/>
    </row>
    <row r="21" spans="1:16" ht="12" customHeight="1">
      <c r="A21" s="9" t="s">
        <v>36</v>
      </c>
      <c r="B21" s="11" t="s">
        <v>37</v>
      </c>
      <c r="C21" s="12" t="s">
        <v>38</v>
      </c>
      <c r="D21" s="2" t="s">
        <v>40</v>
      </c>
      <c r="E21" s="47">
        <v>6.56</v>
      </c>
      <c r="F21" s="47">
        <v>6.56</v>
      </c>
      <c r="G21" s="47">
        <v>6.56</v>
      </c>
      <c r="H21" s="50">
        <v>6.56</v>
      </c>
      <c r="I21" s="1" t="s">
        <v>213</v>
      </c>
      <c r="J21" s="1"/>
      <c r="K21" s="1"/>
      <c r="L21" s="1"/>
      <c r="M21" s="1"/>
      <c r="N21" s="1"/>
      <c r="O21" s="1"/>
      <c r="P21" s="1"/>
    </row>
    <row r="22" spans="1:16" ht="12" customHeight="1">
      <c r="A22" s="8" t="s">
        <v>41</v>
      </c>
      <c r="B22" s="11" t="s">
        <v>37</v>
      </c>
      <c r="C22" s="9" t="s">
        <v>42</v>
      </c>
      <c r="D22" s="2" t="s">
        <v>25</v>
      </c>
      <c r="E22" s="48">
        <v>91</v>
      </c>
      <c r="F22" s="48">
        <v>91</v>
      </c>
      <c r="G22" s="48">
        <v>91</v>
      </c>
      <c r="H22" s="47">
        <v>91</v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106" t="s">
        <v>44</v>
      </c>
      <c r="B23" s="8" t="s">
        <v>46</v>
      </c>
      <c r="C23" s="9" t="s">
        <v>47</v>
      </c>
      <c r="D23" s="2" t="s">
        <v>40</v>
      </c>
      <c r="E23" s="47">
        <v>6.56</v>
      </c>
      <c r="F23" s="47">
        <v>6.56</v>
      </c>
      <c r="G23" s="47">
        <v>6.56</v>
      </c>
      <c r="H23" s="16"/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107"/>
      <c r="B24" s="8" t="s">
        <v>49</v>
      </c>
      <c r="C24" s="9" t="s">
        <v>50</v>
      </c>
      <c r="D24" s="2" t="s">
        <v>25</v>
      </c>
      <c r="E24" s="47">
        <v>91</v>
      </c>
      <c r="F24" s="47">
        <v>91</v>
      </c>
      <c r="G24" s="47">
        <v>91</v>
      </c>
      <c r="H24" s="10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107"/>
      <c r="B25" s="8" t="s">
        <v>51</v>
      </c>
      <c r="C25" s="9" t="s">
        <v>52</v>
      </c>
      <c r="D25" s="2"/>
      <c r="E25" s="49"/>
      <c r="F25" s="49"/>
      <c r="G25" s="49"/>
      <c r="H25" s="10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107"/>
      <c r="B26" s="8" t="s">
        <v>54</v>
      </c>
      <c r="C26" s="9" t="s">
        <v>55</v>
      </c>
      <c r="D26" s="2" t="s">
        <v>40</v>
      </c>
      <c r="E26" s="10">
        <f>IF(E$23="","",IF(E$25=0,"",IF(IF(E$22="",$H$22,E$22)&gt;E$24+20*LOG(E$23/E$28),"Unable",IF(E$23*E$29-E$28=0,"Blank",E$28*E$23/ABS(E$23*E$29-$E$28)))))</f>
      </c>
      <c r="F26" s="10">
        <f>IF(F$23="","",IF(F$25=0,"",IF(IF(F$22="",$H$22,F$22)&gt;F$24+20*LOG(F$23/F$28),"Unable",IF(F$23*F$29-F$28=0,"Blank",F$28*F$23/ABS(F$23*F$29-$E$28)))))</f>
      </c>
      <c r="G26" s="10">
        <f>IF(G$23="","",IF(G$25=0,"",IF(IF(G$22="",$H$22,G$22)&gt;G$24+20*LOG(G$23/G$28),"Unable",IF(G$23*G$29-G$28=0,"Blank",G$28*G$23/ABS(G$23*G$29-$E$28)))))</f>
      </c>
      <c r="H26" s="3"/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107"/>
      <c r="B27" s="8" t="s">
        <v>57</v>
      </c>
      <c r="C27" s="9" t="s">
        <v>58</v>
      </c>
      <c r="D27" s="2" t="s">
        <v>40</v>
      </c>
      <c r="E27" s="10">
        <f>IF(E$23="","",IF(E$25=0,"",IF(E$30&lt;0,"Unable",IF(E$26="Unable","Unable",E$28*(1-1/E$29)))))</f>
      </c>
      <c r="F27" s="10">
        <f>IF(F$23="","",IF(F$25=0,"",IF(F$30&lt;0,"Unable",IF(F$26="Unable","Unable",F$28*(1-1/F$29)))))</f>
      </c>
      <c r="G27" s="10">
        <f>IF(G$23="","",IF(G$25=0,"",IF(G$30&lt;0,"Unable",IF(G$26="Unable","Unable",G$28*(1-1/G$29)))))</f>
      </c>
      <c r="H27" s="3"/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107"/>
      <c r="B28" s="8" t="s">
        <v>60</v>
      </c>
      <c r="C28" s="15" t="s">
        <v>61</v>
      </c>
      <c r="D28" s="2" t="s">
        <v>40</v>
      </c>
      <c r="E28" s="16">
        <f>IF(E$23=0,$H$21,IF(E$25=1,IF(E$21="",$H$21,E$21),E$23))</f>
        <v>6.56</v>
      </c>
      <c r="F28" s="16">
        <f>IF(F$23=0,$H$21,IF(F$25=1,IF(F$21="",$H$21,F$21),F$23))</f>
        <v>6.56</v>
      </c>
      <c r="G28" s="16">
        <f>IF(G$23=0,$H$21,IF(G$25=1,IF(G$21="",$H$21,G$21),G$23))</f>
        <v>6.56</v>
      </c>
      <c r="H28" s="16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107"/>
      <c r="B29" s="8" t="s">
        <v>63</v>
      </c>
      <c r="C29" s="9" t="s">
        <v>64</v>
      </c>
      <c r="D29" s="2" t="s">
        <v>65</v>
      </c>
      <c r="E29" s="10">
        <f>IF(E24="","",10^((E24-IF(E$22="",$H$22,E$22))/20))</f>
        <v>1</v>
      </c>
      <c r="F29" s="10">
        <f>IF(F24="","",10^((F24-IF(F$22="",$H$22,F$22))/20))</f>
        <v>1</v>
      </c>
      <c r="G29" s="10">
        <f>IF(G24="","",10^((G24-IF(G$22="",$H$22,G$22))/20))</f>
        <v>1</v>
      </c>
      <c r="H29" s="10"/>
      <c r="I29" s="87" t="s">
        <v>215</v>
      </c>
      <c r="J29" s="88"/>
      <c r="K29" s="88"/>
      <c r="L29" s="89"/>
      <c r="M29" s="90"/>
      <c r="N29" s="1"/>
      <c r="O29" s="1"/>
      <c r="P29" s="1"/>
    </row>
    <row r="30" spans="1:16" ht="12" customHeight="1">
      <c r="A30" s="108"/>
      <c r="B30" s="8" t="s">
        <v>63</v>
      </c>
      <c r="C30" s="9" t="s">
        <v>64</v>
      </c>
      <c r="D30" s="2" t="s">
        <v>25</v>
      </c>
      <c r="E30" s="10">
        <f>IF(E24="","",E24-IF(E$22="",$H$22,E$22))</f>
        <v>0</v>
      </c>
      <c r="F30" s="10">
        <f>IF(F24="","",F24-IF(F$22="",$H$22,F$22))</f>
        <v>0</v>
      </c>
      <c r="G30" s="10">
        <f>IF(G24="","",G24-IF(G$22="",$H$22,G$22))</f>
        <v>0</v>
      </c>
      <c r="H30" s="10"/>
      <c r="I30" s="2" t="s">
        <v>207</v>
      </c>
      <c r="J30" s="2" t="s">
        <v>208</v>
      </c>
      <c r="K30" s="2" t="s">
        <v>209</v>
      </c>
      <c r="L30" s="2" t="s">
        <v>210</v>
      </c>
      <c r="M30" s="91"/>
      <c r="N30" s="1"/>
      <c r="O30" s="1"/>
      <c r="P30" s="1"/>
    </row>
    <row r="31" spans="1:13" ht="12" customHeight="1">
      <c r="A31" s="96" t="s">
        <v>74</v>
      </c>
      <c r="B31" s="4">
        <v>20</v>
      </c>
      <c r="C31" s="5" t="s">
        <v>75</v>
      </c>
      <c r="D31" s="53" t="s">
        <v>76</v>
      </c>
      <c r="E31" s="6">
        <f aca="true" t="shared" si="0" ref="E31:E52">1/(H141^2+H163^2)^0.5</f>
        <v>6.559999999999999</v>
      </c>
      <c r="F31" s="6"/>
      <c r="G31" s="43" t="s">
        <v>101</v>
      </c>
      <c r="H31" s="3">
        <f>10*LOG((10^((IF($H$17=0,0,E185)+E$22-H$22+E$30+20*LOG(E$28/(E97^2+E$28^2)^0.5))/20))^2+(10^((IF($H$17=0,0,F185)+F$22-H$22+F$30+20*LOG(1/((1+F163*E119)^2+F141^2*E119^2)^0.5*F$28/(F$28^2+F97^2)^0.5))/20))^2+(10^((IF($H$17=0,0,G185)+G$22-H$22+G$30+20*LOG(1/((1+F163*E119)^2+F141^2*E119^2)^0.5*G$28/(G$28^2+F119^2)^0.5))/20))^2)+$L31</f>
        <v>-0.002058248339241607</v>
      </c>
      <c r="I31" s="55"/>
      <c r="J31" s="55"/>
      <c r="K31" s="55"/>
      <c r="L31" s="56">
        <v>0</v>
      </c>
      <c r="M31" s="92" t="s">
        <v>211</v>
      </c>
    </row>
    <row r="32" spans="1:13" ht="12" customHeight="1">
      <c r="A32" s="109"/>
      <c r="B32" s="4">
        <v>30</v>
      </c>
      <c r="C32" s="5" t="s">
        <v>75</v>
      </c>
      <c r="D32" s="53" t="s">
        <v>76</v>
      </c>
      <c r="E32" s="6">
        <f t="shared" si="0"/>
        <v>6.559999999999999</v>
      </c>
      <c r="F32" s="6"/>
      <c r="G32" s="3">
        <f aca="true" t="shared" si="1" ref="G32:G52">IF(ABS($H76-$H75)&gt;180,ABS(360-ABS($H76-$H75))/($B98-$B97),ABS($H76-$H75)/($B98-$B97))*10</f>
        <v>1.3286067948275697</v>
      </c>
      <c r="H32" s="3">
        <f aca="true" t="shared" si="2" ref="H32:H52">10*LOG((10^((IF($H$17=0,0,E186)+E$22-H$22+E$30+20*LOG(E$28/(E98^2+E$28^2)^0.5))/20))^2+(10^((IF($H$17=0,0,F186)+F$22-H$22+F$30+20*LOG(1/((1+F164*E120)^2+F142^2*E120^2)^0.5*F$28/(F$28^2+F98^2)^0.5))/20))^2+(10^((IF($H$17=0,0,G186)+G$22-H$22+G$30+20*LOG(1/((1+F164*E120)^2+F142^2*E120^2)^0.5*G$28/(G$28^2+F120^2)^0.5))/20))^2)+$L32</f>
        <v>-0.004629612614184025</v>
      </c>
      <c r="I32" s="55"/>
      <c r="J32" s="55"/>
      <c r="K32" s="55"/>
      <c r="L32" s="56">
        <v>0</v>
      </c>
      <c r="M32" s="93"/>
    </row>
    <row r="33" spans="1:13" ht="12" customHeight="1">
      <c r="A33" s="109"/>
      <c r="B33" s="4">
        <v>40</v>
      </c>
      <c r="C33" s="5" t="s">
        <v>75</v>
      </c>
      <c r="D33" s="53" t="s">
        <v>76</v>
      </c>
      <c r="E33" s="6">
        <f t="shared" si="0"/>
        <v>6.559999999999999</v>
      </c>
      <c r="F33" s="6"/>
      <c r="G33" s="3">
        <f t="shared" si="1"/>
        <v>1.3279788067394658</v>
      </c>
      <c r="H33" s="3">
        <f t="shared" si="2"/>
        <v>-0.00822682527895402</v>
      </c>
      <c r="I33" s="55"/>
      <c r="J33" s="55"/>
      <c r="K33" s="55"/>
      <c r="L33" s="56">
        <v>0</v>
      </c>
      <c r="M33" s="93"/>
    </row>
    <row r="34" spans="1:13" ht="12" customHeight="1">
      <c r="A34" s="109"/>
      <c r="B34" s="4">
        <v>50</v>
      </c>
      <c r="C34" s="5" t="s">
        <v>75</v>
      </c>
      <c r="D34" s="53" t="s">
        <v>76</v>
      </c>
      <c r="E34" s="6">
        <f t="shared" si="0"/>
        <v>6.559999999999999</v>
      </c>
      <c r="F34" s="6"/>
      <c r="G34" s="3">
        <f t="shared" si="1"/>
        <v>1.3271424158058034</v>
      </c>
      <c r="H34" s="3">
        <f t="shared" si="2"/>
        <v>-0.012847193863285788</v>
      </c>
      <c r="I34" s="55"/>
      <c r="J34" s="55"/>
      <c r="K34" s="55"/>
      <c r="L34" s="56">
        <v>0</v>
      </c>
      <c r="M34" s="93"/>
    </row>
    <row r="35" spans="1:13" ht="12" customHeight="1">
      <c r="A35" s="109"/>
      <c r="B35" s="4">
        <v>70</v>
      </c>
      <c r="C35" s="5" t="s">
        <v>75</v>
      </c>
      <c r="D35" s="53" t="s">
        <v>76</v>
      </c>
      <c r="E35" s="6">
        <f t="shared" si="0"/>
        <v>6.559999999999999</v>
      </c>
      <c r="F35" s="6"/>
      <c r="G35" s="3">
        <f t="shared" si="1"/>
        <v>1.3254730993877768</v>
      </c>
      <c r="H35" s="3">
        <f t="shared" si="2"/>
        <v>-0.025142822251056414</v>
      </c>
      <c r="I35" s="55"/>
      <c r="J35" s="55"/>
      <c r="K35" s="55"/>
      <c r="L35" s="56">
        <v>0</v>
      </c>
      <c r="M35" s="93"/>
    </row>
    <row r="36" spans="1:13" ht="12" customHeight="1">
      <c r="A36" s="109"/>
      <c r="B36" s="4">
        <v>100</v>
      </c>
      <c r="C36" s="5" t="s">
        <v>75</v>
      </c>
      <c r="D36" s="53" t="s">
        <v>76</v>
      </c>
      <c r="E36" s="6">
        <f t="shared" si="0"/>
        <v>6.559999999999999</v>
      </c>
      <c r="F36" s="6"/>
      <c r="G36" s="3">
        <f t="shared" si="1"/>
        <v>1.321664044393554</v>
      </c>
      <c r="H36" s="3">
        <f t="shared" si="2"/>
        <v>-0.05114909375756788</v>
      </c>
      <c r="I36" s="55"/>
      <c r="J36" s="55"/>
      <c r="K36" s="55"/>
      <c r="L36" s="56">
        <v>0</v>
      </c>
      <c r="M36" s="93"/>
    </row>
    <row r="37" spans="1:13" ht="12" customHeight="1">
      <c r="A37" s="109"/>
      <c r="B37" s="4">
        <v>150</v>
      </c>
      <c r="C37" s="5" t="s">
        <v>75</v>
      </c>
      <c r="D37" s="53" t="s">
        <v>76</v>
      </c>
      <c r="E37" s="6">
        <f t="shared" si="0"/>
        <v>6.559999999999999</v>
      </c>
      <c r="F37" s="6"/>
      <c r="G37" s="3">
        <f t="shared" si="1"/>
        <v>1.3128894206526964</v>
      </c>
      <c r="H37" s="3">
        <f t="shared" si="2"/>
        <v>-0.014195547757216626</v>
      </c>
      <c r="I37" s="55"/>
      <c r="J37" s="55"/>
      <c r="K37" s="55"/>
      <c r="L37" s="56">
        <v>0.1</v>
      </c>
      <c r="M37" s="93"/>
    </row>
    <row r="38" spans="1:13" ht="12" customHeight="1">
      <c r="A38" s="97" t="s">
        <v>77</v>
      </c>
      <c r="B38" s="4">
        <v>200</v>
      </c>
      <c r="C38" s="5" t="s">
        <v>75</v>
      </c>
      <c r="D38" s="53" t="s">
        <v>76</v>
      </c>
      <c r="E38" s="6">
        <f t="shared" si="0"/>
        <v>6.5600000000000005</v>
      </c>
      <c r="F38" s="6"/>
      <c r="G38" s="3">
        <f t="shared" si="1"/>
        <v>1.2977403555980074</v>
      </c>
      <c r="H38" s="3">
        <f t="shared" si="2"/>
        <v>-0.000832021796500354</v>
      </c>
      <c r="I38" s="55"/>
      <c r="J38" s="55"/>
      <c r="K38" s="55"/>
      <c r="L38" s="56">
        <v>0.2</v>
      </c>
      <c r="M38" s="93"/>
    </row>
    <row r="39" spans="1:13" ht="12" customHeight="1">
      <c r="A39" s="109"/>
      <c r="B39" s="4">
        <v>300</v>
      </c>
      <c r="C39" s="5" t="s">
        <v>75</v>
      </c>
      <c r="D39" s="53" t="s">
        <v>76</v>
      </c>
      <c r="E39" s="6">
        <f t="shared" si="0"/>
        <v>6.5600000000000005</v>
      </c>
      <c r="F39" s="6"/>
      <c r="G39" s="3">
        <f t="shared" si="1"/>
        <v>1.2556375306217051</v>
      </c>
      <c r="H39" s="3">
        <f t="shared" si="2"/>
        <v>-0.03829736531193978</v>
      </c>
      <c r="I39" s="55"/>
      <c r="J39" s="55"/>
      <c r="K39" s="55"/>
      <c r="L39" s="56">
        <v>0.4</v>
      </c>
      <c r="M39" s="93"/>
    </row>
    <row r="40" spans="1:13" ht="12" customHeight="1">
      <c r="A40" s="109"/>
      <c r="B40" s="4">
        <v>400</v>
      </c>
      <c r="C40" s="5" t="s">
        <v>75</v>
      </c>
      <c r="D40" s="53" t="s">
        <v>76</v>
      </c>
      <c r="E40" s="6">
        <f t="shared" si="0"/>
        <v>6.5600000000000005</v>
      </c>
      <c r="F40" s="6"/>
      <c r="G40" s="3">
        <f t="shared" si="1"/>
        <v>1.182710811773994</v>
      </c>
      <c r="H40" s="3">
        <f t="shared" si="2"/>
        <v>-0.04729753364601652</v>
      </c>
      <c r="I40" s="55"/>
      <c r="J40" s="55"/>
      <c r="K40" s="55"/>
      <c r="L40" s="56">
        <v>0.7</v>
      </c>
      <c r="M40" s="93"/>
    </row>
    <row r="41" spans="1:13" ht="12" customHeight="1">
      <c r="A41" s="109"/>
      <c r="B41" s="4">
        <v>500</v>
      </c>
      <c r="C41" s="5" t="s">
        <v>75</v>
      </c>
      <c r="D41" s="53" t="s">
        <v>76</v>
      </c>
      <c r="E41" s="6">
        <f t="shared" si="0"/>
        <v>6.559999999999999</v>
      </c>
      <c r="F41" s="6"/>
      <c r="G41" s="3">
        <f t="shared" si="1"/>
        <v>1.1091744287452414</v>
      </c>
      <c r="H41" s="3">
        <f t="shared" si="2"/>
        <v>-0.008184727821062943</v>
      </c>
      <c r="I41" s="55"/>
      <c r="J41" s="55"/>
      <c r="K41" s="55"/>
      <c r="L41" s="56">
        <v>1.1</v>
      </c>
      <c r="M41" s="93"/>
    </row>
    <row r="42" spans="1:13" ht="12" customHeight="1">
      <c r="A42" s="109"/>
      <c r="B42" s="4">
        <v>700</v>
      </c>
      <c r="C42" s="5" t="s">
        <v>75</v>
      </c>
      <c r="D42" s="53" t="s">
        <v>76</v>
      </c>
      <c r="E42" s="6">
        <f t="shared" si="0"/>
        <v>6.559999999999999</v>
      </c>
      <c r="F42" s="6"/>
      <c r="G42" s="3">
        <f t="shared" si="1"/>
        <v>0.9841524778247481</v>
      </c>
      <c r="H42" s="3">
        <f t="shared" si="2"/>
        <v>-0.0035136679517753233</v>
      </c>
      <c r="I42" s="55"/>
      <c r="J42" s="55"/>
      <c r="K42" s="55"/>
      <c r="L42" s="56">
        <v>1.9</v>
      </c>
      <c r="M42" s="93"/>
    </row>
    <row r="43" spans="1:13" ht="12" customHeight="1">
      <c r="A43" s="109"/>
      <c r="B43" s="4" t="s">
        <v>78</v>
      </c>
      <c r="C43" s="5" t="s">
        <v>75</v>
      </c>
      <c r="D43" s="53" t="s">
        <v>76</v>
      </c>
      <c r="E43" s="6">
        <f t="shared" si="0"/>
        <v>6.560000000000001</v>
      </c>
      <c r="F43" s="6"/>
      <c r="G43" s="3">
        <f t="shared" si="1"/>
        <v>0.7865136327320499</v>
      </c>
      <c r="H43" s="3">
        <f t="shared" si="2"/>
        <v>-0.02807447023418108</v>
      </c>
      <c r="I43" s="55"/>
      <c r="J43" s="55"/>
      <c r="K43" s="55"/>
      <c r="L43" s="56">
        <v>3</v>
      </c>
      <c r="M43" s="93"/>
    </row>
    <row r="44" spans="1:13" ht="12" customHeight="1">
      <c r="A44" s="109"/>
      <c r="B44" s="4" t="s">
        <v>79</v>
      </c>
      <c r="C44" s="5" t="s">
        <v>75</v>
      </c>
      <c r="D44" s="53" t="s">
        <v>76</v>
      </c>
      <c r="E44" s="6">
        <f t="shared" si="0"/>
        <v>6.5600000000000005</v>
      </c>
      <c r="F44" s="6"/>
      <c r="G44" s="3">
        <f t="shared" si="1"/>
        <v>0.5638862731646292</v>
      </c>
      <c r="H44" s="3">
        <f t="shared" si="2"/>
        <v>-0.04803837083834406</v>
      </c>
      <c r="I44" s="55"/>
      <c r="J44" s="55"/>
      <c r="K44" s="55"/>
      <c r="L44" s="56">
        <v>4.2</v>
      </c>
      <c r="M44" s="93"/>
    </row>
    <row r="45" spans="1:13" ht="12" customHeight="1">
      <c r="A45" s="109"/>
      <c r="B45" s="4" t="s">
        <v>80</v>
      </c>
      <c r="C45" s="5" t="s">
        <v>75</v>
      </c>
      <c r="D45" s="53" t="s">
        <v>76</v>
      </c>
      <c r="E45" s="6">
        <f t="shared" si="0"/>
        <v>6.559999999999999</v>
      </c>
      <c r="F45" s="6"/>
      <c r="G45" s="3">
        <f t="shared" si="1"/>
        <v>0.5557727324777375</v>
      </c>
      <c r="H45" s="3">
        <f t="shared" si="2"/>
        <v>-0.09914232718593752</v>
      </c>
      <c r="I45" s="55"/>
      <c r="J45" s="55"/>
      <c r="K45" s="55"/>
      <c r="L45" s="56">
        <v>4.7</v>
      </c>
      <c r="M45" s="93"/>
    </row>
    <row r="46" spans="1:13" ht="12" customHeight="1">
      <c r="A46" s="97" t="s">
        <v>81</v>
      </c>
      <c r="B46" s="4" t="s">
        <v>82</v>
      </c>
      <c r="C46" s="5" t="s">
        <v>75</v>
      </c>
      <c r="D46" s="53" t="s">
        <v>76</v>
      </c>
      <c r="E46" s="6">
        <f t="shared" si="0"/>
        <v>6.5600000000000005</v>
      </c>
      <c r="F46" s="6"/>
      <c r="G46" s="3">
        <f t="shared" si="1"/>
        <v>0.278657308037989</v>
      </c>
      <c r="H46" s="3">
        <f t="shared" si="2"/>
        <v>-0.046042069465465296</v>
      </c>
      <c r="I46" s="55"/>
      <c r="J46" s="55"/>
      <c r="K46" s="55"/>
      <c r="L46" s="56">
        <v>5</v>
      </c>
      <c r="M46" s="93"/>
    </row>
    <row r="47" spans="1:13" ht="12" customHeight="1">
      <c r="A47" s="109"/>
      <c r="B47" s="4" t="s">
        <v>83</v>
      </c>
      <c r="C47" s="5" t="s">
        <v>75</v>
      </c>
      <c r="D47" s="53" t="s">
        <v>76</v>
      </c>
      <c r="E47" s="6">
        <f t="shared" si="0"/>
        <v>6.559999999999999</v>
      </c>
      <c r="F47" s="6"/>
      <c r="G47" s="3">
        <f t="shared" si="1"/>
        <v>0.17272448260590492</v>
      </c>
      <c r="H47" s="3">
        <f t="shared" si="2"/>
        <v>-0.00988571438520136</v>
      </c>
      <c r="I47" s="55"/>
      <c r="J47" s="55"/>
      <c r="K47" s="55"/>
      <c r="L47" s="56">
        <v>4.6</v>
      </c>
      <c r="M47" s="93"/>
    </row>
    <row r="48" spans="1:13" ht="12" customHeight="1">
      <c r="A48" s="109"/>
      <c r="B48" s="4" t="s">
        <v>84</v>
      </c>
      <c r="C48" s="5" t="s">
        <v>75</v>
      </c>
      <c r="D48" s="53" t="s">
        <v>76</v>
      </c>
      <c r="E48" s="6">
        <f t="shared" si="0"/>
        <v>6.559999999999999</v>
      </c>
      <c r="F48" s="6"/>
      <c r="G48" s="3">
        <f t="shared" si="1"/>
        <v>0.12345293989229958</v>
      </c>
      <c r="H48" s="3">
        <f t="shared" si="2"/>
        <v>-0.05966744405494406</v>
      </c>
      <c r="I48" s="55"/>
      <c r="J48" s="55"/>
      <c r="K48" s="55"/>
      <c r="L48" s="56">
        <v>3.6</v>
      </c>
      <c r="M48" s="93"/>
    </row>
    <row r="49" spans="1:13" ht="12" customHeight="1">
      <c r="A49" s="109"/>
      <c r="B49" s="4" t="s">
        <v>85</v>
      </c>
      <c r="C49" s="5" t="s">
        <v>75</v>
      </c>
      <c r="D49" s="53" t="s">
        <v>76</v>
      </c>
      <c r="E49" s="6">
        <f t="shared" si="0"/>
        <v>6.5600000000000005</v>
      </c>
      <c r="F49" s="6"/>
      <c r="G49" s="3">
        <f t="shared" si="1"/>
        <v>0.08938669343827783</v>
      </c>
      <c r="H49" s="3">
        <f t="shared" si="2"/>
        <v>-0.06973783187643745</v>
      </c>
      <c r="I49" s="55"/>
      <c r="J49" s="55"/>
      <c r="K49" s="55"/>
      <c r="L49" s="56">
        <v>1.2</v>
      </c>
      <c r="M49" s="93"/>
    </row>
    <row r="50" spans="1:13" ht="12" customHeight="1">
      <c r="A50" s="109"/>
      <c r="B50" s="4" t="s">
        <v>86</v>
      </c>
      <c r="C50" s="5" t="s">
        <v>75</v>
      </c>
      <c r="D50" s="53" t="s">
        <v>76</v>
      </c>
      <c r="E50" s="6">
        <f t="shared" si="0"/>
        <v>6.559999999999999</v>
      </c>
      <c r="F50" s="6"/>
      <c r="G50" s="3">
        <f t="shared" si="1"/>
        <v>0.06047494391533216</v>
      </c>
      <c r="H50" s="3">
        <f t="shared" si="2"/>
        <v>0.03157084255594511</v>
      </c>
      <c r="I50" s="55"/>
      <c r="J50" s="55"/>
      <c r="K50" s="55"/>
      <c r="L50" s="56">
        <v>-1.7</v>
      </c>
      <c r="M50" s="93"/>
    </row>
    <row r="51" spans="1:13" ht="12" customHeight="1">
      <c r="A51" s="109"/>
      <c r="B51" s="4" t="s">
        <v>87</v>
      </c>
      <c r="C51" s="5" t="s">
        <v>75</v>
      </c>
      <c r="D51" s="53" t="s">
        <v>76</v>
      </c>
      <c r="E51" s="6">
        <f t="shared" si="0"/>
        <v>6.559999999999999</v>
      </c>
      <c r="F51" s="6"/>
      <c r="G51" s="3">
        <f t="shared" si="1"/>
        <v>0.03964793790761246</v>
      </c>
      <c r="H51" s="3">
        <f t="shared" si="2"/>
        <v>0.04265586624593798</v>
      </c>
      <c r="I51" s="55"/>
      <c r="J51" s="55"/>
      <c r="K51" s="55"/>
      <c r="L51" s="56">
        <v>-4.8</v>
      </c>
      <c r="M51" s="93"/>
    </row>
    <row r="52" spans="1:13" ht="12" customHeight="1">
      <c r="A52" s="110"/>
      <c r="B52" s="4" t="s">
        <v>88</v>
      </c>
      <c r="C52" s="5" t="s">
        <v>75</v>
      </c>
      <c r="D52" s="53" t="s">
        <v>76</v>
      </c>
      <c r="E52" s="6">
        <f t="shared" si="0"/>
        <v>6.559999999999999</v>
      </c>
      <c r="F52" s="6"/>
      <c r="G52" s="3">
        <f t="shared" si="1"/>
        <v>0.02721505518285511</v>
      </c>
      <c r="H52" s="3">
        <f t="shared" si="2"/>
        <v>0.03539739826069965</v>
      </c>
      <c r="I52" s="55"/>
      <c r="J52" s="55"/>
      <c r="K52" s="55"/>
      <c r="L52" s="56">
        <v>-6.6</v>
      </c>
      <c r="M52" s="94"/>
    </row>
    <row r="53" spans="1:13" ht="12" customHeight="1">
      <c r="A53" s="96" t="s">
        <v>89</v>
      </c>
      <c r="B53" s="4">
        <v>20</v>
      </c>
      <c r="C53" s="5" t="s">
        <v>75</v>
      </c>
      <c r="D53" s="2" t="s">
        <v>90</v>
      </c>
      <c r="E53" s="7">
        <f>IF($H$17=0,0,E185)+E$22-$H$22+E$30+20*LOG(E$28/(E97^2+E$28^2)^0.5)+$I53</f>
        <v>-0.002640447337379619</v>
      </c>
      <c r="F53" s="3">
        <f>IF($H$17=0,0,F185)+F$22-$H$22+F$30+20*LOG(1/((1+F163*E119)^2+F141^2*E119^2)^0.5*F$28/(F$28^2+F97^2)^0.5)+$J53</f>
        <v>-38.729477921628735</v>
      </c>
      <c r="G53" s="3">
        <f>IF($H$17=0,0,G185)+G$22-$H$22+G$30+20*LOG(1/((1+F163*E119)^2+F141^2*E119^2)^0.5*G$28/(G$28^2+F119^2)^0.5)+$K53</f>
        <v>-132.99847777726416</v>
      </c>
      <c r="H53" s="7">
        <f>20*LOG(((10^(E53/20)*COS(3.14159*E75/180)+10^(F53/20)*COS(3.14159*F75/180)+10^(G53/20)*COS(3.14159*G75/180))^2+(10^(E53/20)*SIN(3.14159*E75/180)+10^(F53/20)*SIN(3.14159*F75/180)+10^(G53/20)*SIN(3.14159*G75/180))^2)^0.5)+$L53</f>
        <v>-0.0008302314515372394</v>
      </c>
      <c r="I53" s="56">
        <v>0</v>
      </c>
      <c r="J53" s="56">
        <v>0</v>
      </c>
      <c r="K53" s="56">
        <v>0</v>
      </c>
      <c r="L53" s="56">
        <v>0</v>
      </c>
      <c r="M53" s="92" t="s">
        <v>212</v>
      </c>
    </row>
    <row r="54" spans="1:13" ht="12" customHeight="1">
      <c r="A54" s="97"/>
      <c r="B54" s="4">
        <v>30</v>
      </c>
      <c r="C54" s="5" t="s">
        <v>75</v>
      </c>
      <c r="D54" s="2" t="s">
        <v>90</v>
      </c>
      <c r="E54" s="7">
        <f aca="true" t="shared" si="3" ref="E54:E74">IF($H$17=0,0,E186)+E$22-$H$22+E$30+20*LOG(E$28/(E98^2+E$28^2)^0.5)+$I54</f>
        <v>-0.005939865160151454</v>
      </c>
      <c r="F54" s="3">
        <f aca="true" t="shared" si="4" ref="F54:F74">IF($H$17=0,0,F186)+F$22-$H$22+F$30+20*LOG(1/((1+F164*E120)^2+F142^2*E120^2)^0.5*F$28/(F$28^2+F98^2)^0.5)+$J54</f>
        <v>-35.209577721067646</v>
      </c>
      <c r="G54" s="3">
        <f aca="true" t="shared" si="5" ref="G54:G74">IF($H$17=0,0,G186)+G$22-$H$22+G$30+20*LOG(1/((1+F164*E120)^2+F142^2*E120^2)^0.5*G$28/(G$28^2+F120^2)^0.5)+$K54</f>
        <v>-122.43493098438255</v>
      </c>
      <c r="H54" s="7">
        <f aca="true" t="shared" si="6" ref="H54:H74">20*LOG(((10^(E54/20)*COS(3.14159*E76/180)+10^(F54/20)*COS(3.14159*F76/180)+10^(G54/20)*COS(3.14159*G76/180))^2+(10^(E54/20)*SIN(3.14159*E76/180)+10^(F54/20)*SIN(3.14159*F76/180)+10^(G54/20)*SIN(3.14159*G76/180))^2)^0.5)+$L54</f>
        <v>-0.001867162759984258</v>
      </c>
      <c r="I54" s="56">
        <v>0</v>
      </c>
      <c r="J54" s="56">
        <v>0</v>
      </c>
      <c r="K54" s="56">
        <v>0</v>
      </c>
      <c r="L54" s="56">
        <v>0</v>
      </c>
      <c r="M54" s="93"/>
    </row>
    <row r="55" spans="1:13" ht="12" customHeight="1">
      <c r="A55" s="97"/>
      <c r="B55" s="4">
        <v>40</v>
      </c>
      <c r="C55" s="5" t="s">
        <v>75</v>
      </c>
      <c r="D55" s="2" t="s">
        <v>90</v>
      </c>
      <c r="E55" s="7">
        <f t="shared" si="3"/>
        <v>-0.010556921358913982</v>
      </c>
      <c r="F55" s="3">
        <f t="shared" si="4"/>
        <v>-32.713496667848176</v>
      </c>
      <c r="G55" s="3">
        <f t="shared" si="5"/>
        <v>-114.94130574469504</v>
      </c>
      <c r="H55" s="7">
        <f t="shared" si="6"/>
        <v>-0.003317746388309796</v>
      </c>
      <c r="I55" s="56">
        <v>0</v>
      </c>
      <c r="J55" s="56">
        <v>0</v>
      </c>
      <c r="K55" s="56">
        <v>0</v>
      </c>
      <c r="L55" s="56">
        <v>0</v>
      </c>
      <c r="M55" s="93"/>
    </row>
    <row r="56" spans="1:13" ht="12" customHeight="1">
      <c r="A56" s="97"/>
      <c r="B56" s="4">
        <v>50</v>
      </c>
      <c r="C56" s="5" t="s">
        <v>75</v>
      </c>
      <c r="D56" s="2" t="s">
        <v>90</v>
      </c>
      <c r="E56" s="7">
        <f t="shared" si="3"/>
        <v>-0.016489491145659216</v>
      </c>
      <c r="F56" s="3">
        <f t="shared" si="4"/>
        <v>-30.778757493802363</v>
      </c>
      <c r="G56" s="3">
        <f t="shared" si="5"/>
        <v>-109.13017283614263</v>
      </c>
      <c r="H56" s="7">
        <f t="shared" si="6"/>
        <v>-0.005180944472813046</v>
      </c>
      <c r="I56" s="56">
        <v>0</v>
      </c>
      <c r="J56" s="56">
        <v>0</v>
      </c>
      <c r="K56" s="56">
        <v>0</v>
      </c>
      <c r="L56" s="56">
        <v>0</v>
      </c>
      <c r="M56" s="93"/>
    </row>
    <row r="57" spans="1:13" ht="12" customHeight="1">
      <c r="A57" s="97"/>
      <c r="B57" s="4">
        <v>70</v>
      </c>
      <c r="C57" s="5" t="s">
        <v>75</v>
      </c>
      <c r="D57" s="2" t="s">
        <v>90</v>
      </c>
      <c r="E57" s="7">
        <f t="shared" si="3"/>
        <v>-0.03228966938076988</v>
      </c>
      <c r="F57" s="3">
        <f t="shared" si="4"/>
        <v>-27.86541418576092</v>
      </c>
      <c r="G57" s="3">
        <f t="shared" si="5"/>
        <v>-100.37172619642828</v>
      </c>
      <c r="H57" s="7">
        <f t="shared" si="6"/>
        <v>-0.010139568142055473</v>
      </c>
      <c r="I57" s="56">
        <v>0</v>
      </c>
      <c r="J57" s="56">
        <v>0</v>
      </c>
      <c r="K57" s="56">
        <v>0</v>
      </c>
      <c r="L57" s="56">
        <v>0</v>
      </c>
      <c r="M57" s="93"/>
    </row>
    <row r="58" spans="1:13" ht="12" customHeight="1">
      <c r="A58" s="97"/>
      <c r="B58" s="4">
        <v>100</v>
      </c>
      <c r="C58" s="5" t="s">
        <v>75</v>
      </c>
      <c r="D58" s="2" t="s">
        <v>90</v>
      </c>
      <c r="E58" s="7">
        <f t="shared" si="3"/>
        <v>-0.0657688371926309</v>
      </c>
      <c r="F58" s="3">
        <f t="shared" si="4"/>
        <v>-24.786903531907207</v>
      </c>
      <c r="G58" s="3">
        <f t="shared" si="5"/>
        <v>-91.09717559573978</v>
      </c>
      <c r="H58" s="7">
        <f t="shared" si="6"/>
        <v>-0.020629437363210185</v>
      </c>
      <c r="I58" s="56">
        <v>0</v>
      </c>
      <c r="J58" s="56">
        <v>0</v>
      </c>
      <c r="K58" s="56">
        <v>0</v>
      </c>
      <c r="L58" s="56">
        <v>0</v>
      </c>
      <c r="M58" s="93"/>
    </row>
    <row r="59" spans="1:13" ht="12" customHeight="1">
      <c r="A59" s="97"/>
      <c r="B59" s="4">
        <v>150</v>
      </c>
      <c r="C59" s="5" t="s">
        <v>75</v>
      </c>
      <c r="D59" s="2" t="s">
        <v>90</v>
      </c>
      <c r="E59" s="7">
        <f t="shared" si="3"/>
        <v>-0.1472779050150943</v>
      </c>
      <c r="F59" s="3">
        <f t="shared" si="4"/>
        <v>-21.312610007952372</v>
      </c>
      <c r="G59" s="3">
        <f t="shared" si="5"/>
        <v>-80.57932595467409</v>
      </c>
      <c r="H59" s="7">
        <f t="shared" si="6"/>
        <v>-0.046072511540614564</v>
      </c>
      <c r="I59" s="56">
        <v>0</v>
      </c>
      <c r="J59" s="56">
        <v>0</v>
      </c>
      <c r="K59" s="56">
        <v>0</v>
      </c>
      <c r="L59" s="56">
        <v>0</v>
      </c>
      <c r="M59" s="93"/>
    </row>
    <row r="60" spans="1:13" ht="12" customHeight="1">
      <c r="A60" s="97"/>
      <c r="B60" s="4">
        <v>200</v>
      </c>
      <c r="C60" s="5" t="s">
        <v>75</v>
      </c>
      <c r="D60" s="2" t="s">
        <v>90</v>
      </c>
      <c r="E60" s="7">
        <f t="shared" si="3"/>
        <v>-0.2601067206225802</v>
      </c>
      <c r="F60" s="3">
        <f t="shared" si="4"/>
        <v>-18.879601465372286</v>
      </c>
      <c r="G60" s="3">
        <f t="shared" si="5"/>
        <v>-73.14889988748918</v>
      </c>
      <c r="H60" s="7">
        <f t="shared" si="6"/>
        <v>-0.08106833941299219</v>
      </c>
      <c r="I60" s="56">
        <v>0</v>
      </c>
      <c r="J60" s="56">
        <v>0</v>
      </c>
      <c r="K60" s="56">
        <v>0</v>
      </c>
      <c r="L60" s="56">
        <v>0</v>
      </c>
      <c r="M60" s="93"/>
    </row>
    <row r="61" spans="1:13" ht="12" customHeight="1">
      <c r="A61" s="97"/>
      <c r="B61" s="4">
        <v>300</v>
      </c>
      <c r="C61" s="5" t="s">
        <v>75</v>
      </c>
      <c r="D61" s="2" t="s">
        <v>90</v>
      </c>
      <c r="E61" s="7">
        <f t="shared" si="3"/>
        <v>-0.47454469523190734</v>
      </c>
      <c r="F61" s="3">
        <f t="shared" si="4"/>
        <v>-15.540888303756274</v>
      </c>
      <c r="G61" s="3">
        <f t="shared" si="5"/>
        <v>-62.766913312209525</v>
      </c>
      <c r="H61" s="7">
        <f t="shared" si="6"/>
        <v>-0.08301464536992273</v>
      </c>
      <c r="I61" s="56">
        <v>0.1</v>
      </c>
      <c r="J61" s="56">
        <v>0</v>
      </c>
      <c r="K61" s="56">
        <v>0</v>
      </c>
      <c r="L61" s="56">
        <v>0</v>
      </c>
      <c r="M61" s="93"/>
    </row>
    <row r="62" spans="1:13" ht="12" customHeight="1">
      <c r="A62" s="97"/>
      <c r="B62" s="4">
        <v>400</v>
      </c>
      <c r="C62" s="5" t="s">
        <v>75</v>
      </c>
      <c r="D62" s="2" t="s">
        <v>90</v>
      </c>
      <c r="E62" s="7">
        <f t="shared" si="3"/>
        <v>-0.696294088595153</v>
      </c>
      <c r="F62" s="3">
        <f t="shared" si="4"/>
        <v>-13.287370668001975</v>
      </c>
      <c r="G62" s="3">
        <f t="shared" si="5"/>
        <v>-55.516373885152944</v>
      </c>
      <c r="H62" s="7">
        <f t="shared" si="6"/>
        <v>-0.032126944027937754</v>
      </c>
      <c r="I62" s="56">
        <v>0.3</v>
      </c>
      <c r="J62" s="56">
        <v>0</v>
      </c>
      <c r="K62" s="56">
        <v>0</v>
      </c>
      <c r="L62" s="56">
        <v>0</v>
      </c>
      <c r="M62" s="93"/>
    </row>
    <row r="63" spans="1:13" ht="12" customHeight="1">
      <c r="A63" s="97"/>
      <c r="B63" s="4">
        <v>500</v>
      </c>
      <c r="C63" s="5" t="s">
        <v>75</v>
      </c>
      <c r="D63" s="2" t="s">
        <v>90</v>
      </c>
      <c r="E63" s="7">
        <f t="shared" si="3"/>
        <v>-1.0098435159266184</v>
      </c>
      <c r="F63" s="3">
        <f t="shared" si="4"/>
        <v>-11.647371284331989</v>
      </c>
      <c r="G63" s="3">
        <f t="shared" si="5"/>
        <v>-50.00065232372012</v>
      </c>
      <c r="H63" s="7">
        <f t="shared" si="6"/>
        <v>-0.022138990409348608</v>
      </c>
      <c r="I63" s="56">
        <v>0.5</v>
      </c>
      <c r="J63" s="56">
        <v>0</v>
      </c>
      <c r="K63" s="56">
        <v>0</v>
      </c>
      <c r="L63" s="56">
        <v>0</v>
      </c>
      <c r="M63" s="93"/>
    </row>
    <row r="64" spans="1:13" ht="12" customHeight="1">
      <c r="A64" s="97"/>
      <c r="B64" s="4">
        <v>700</v>
      </c>
      <c r="C64" s="5" t="s">
        <v>75</v>
      </c>
      <c r="D64" s="2" t="s">
        <v>90</v>
      </c>
      <c r="E64" s="7">
        <f t="shared" si="3"/>
        <v>-1.7462344183591099</v>
      </c>
      <c r="F64" s="3">
        <f t="shared" si="4"/>
        <v>-9.44150482600991</v>
      </c>
      <c r="G64" s="3">
        <f t="shared" si="5"/>
        <v>-41.951472833937906</v>
      </c>
      <c r="H64" s="7">
        <f t="shared" si="6"/>
        <v>-0.023218809262560765</v>
      </c>
      <c r="I64" s="56">
        <v>1</v>
      </c>
      <c r="J64" s="56">
        <v>0</v>
      </c>
      <c r="K64" s="56">
        <v>0</v>
      </c>
      <c r="L64" s="56">
        <v>0</v>
      </c>
      <c r="M64" s="93"/>
    </row>
    <row r="65" spans="1:13" ht="12" customHeight="1">
      <c r="A65" s="97"/>
      <c r="B65" s="4" t="s">
        <v>78</v>
      </c>
      <c r="C65" s="5" t="s">
        <v>75</v>
      </c>
      <c r="D65" s="2" t="s">
        <v>90</v>
      </c>
      <c r="E65" s="7">
        <f t="shared" si="3"/>
        <v>-2.9014004785421665</v>
      </c>
      <c r="F65" s="3">
        <f t="shared" si="4"/>
        <v>-7.592957497724933</v>
      </c>
      <c r="G65" s="3">
        <f t="shared" si="5"/>
        <v>-32.91068744860184</v>
      </c>
      <c r="H65" s="7">
        <f t="shared" si="6"/>
        <v>-0.019876910933014122</v>
      </c>
      <c r="I65" s="56">
        <v>2</v>
      </c>
      <c r="J65" s="56">
        <v>0</v>
      </c>
      <c r="K65" s="56">
        <v>1</v>
      </c>
      <c r="L65" s="56">
        <v>0</v>
      </c>
      <c r="M65" s="93"/>
    </row>
    <row r="66" spans="1:13" ht="12" customHeight="1">
      <c r="A66" s="97"/>
      <c r="B66" s="4" t="s">
        <v>79</v>
      </c>
      <c r="C66" s="5" t="s">
        <v>75</v>
      </c>
      <c r="D66" s="2" t="s">
        <v>90</v>
      </c>
      <c r="E66" s="7">
        <f t="shared" si="3"/>
        <v>-4.840130926504677</v>
      </c>
      <c r="F66" s="3">
        <f t="shared" si="4"/>
        <v>-6.2626102997431365</v>
      </c>
      <c r="G66" s="3">
        <f t="shared" si="5"/>
        <v>-22.546088155429935</v>
      </c>
      <c r="H66" s="7">
        <f t="shared" si="6"/>
        <v>-0.03995632410582969</v>
      </c>
      <c r="I66" s="56">
        <v>3.8</v>
      </c>
      <c r="J66" s="56">
        <v>0</v>
      </c>
      <c r="K66" s="56">
        <v>3</v>
      </c>
      <c r="L66" s="56">
        <v>0</v>
      </c>
      <c r="M66" s="93"/>
    </row>
    <row r="67" spans="1:13" ht="12" customHeight="1">
      <c r="A67" s="97"/>
      <c r="B67" s="4" t="s">
        <v>80</v>
      </c>
      <c r="C67" s="5" t="s">
        <v>75</v>
      </c>
      <c r="D67" s="2" t="s">
        <v>90</v>
      </c>
      <c r="E67" s="7">
        <f t="shared" si="3"/>
        <v>-10.100054752092696</v>
      </c>
      <c r="F67" s="3">
        <f t="shared" si="4"/>
        <v>-5.8522676589807725</v>
      </c>
      <c r="G67" s="3">
        <f t="shared" si="5"/>
        <v>-11.151319549488043</v>
      </c>
      <c r="H67" s="7">
        <f t="shared" si="6"/>
        <v>-0.04068860667459828</v>
      </c>
      <c r="I67" s="56">
        <v>2</v>
      </c>
      <c r="J67" s="56">
        <v>0</v>
      </c>
      <c r="K67" s="56">
        <v>9</v>
      </c>
      <c r="L67" s="56">
        <v>0</v>
      </c>
      <c r="M67" s="93"/>
    </row>
    <row r="68" spans="1:13" ht="12" customHeight="1">
      <c r="A68" s="97"/>
      <c r="B68" s="4" t="s">
        <v>82</v>
      </c>
      <c r="C68" s="5" t="s">
        <v>75</v>
      </c>
      <c r="D68" s="2" t="s">
        <v>90</v>
      </c>
      <c r="E68" s="7">
        <f t="shared" si="3"/>
        <v>-17.049056619932323</v>
      </c>
      <c r="F68" s="3">
        <f t="shared" si="4"/>
        <v>-6.02275568981689</v>
      </c>
      <c r="G68" s="3">
        <f t="shared" si="5"/>
        <v>-7.715435881015361</v>
      </c>
      <c r="H68" s="7">
        <f t="shared" si="6"/>
        <v>-0.07416233204361229</v>
      </c>
      <c r="I68" s="56">
        <v>0.8</v>
      </c>
      <c r="J68" s="56">
        <v>0</v>
      </c>
      <c r="K68" s="56">
        <v>5.6</v>
      </c>
      <c r="L68" s="56">
        <v>0</v>
      </c>
      <c r="M68" s="93"/>
    </row>
    <row r="69" spans="1:13" ht="12" customHeight="1">
      <c r="A69" s="97"/>
      <c r="B69" s="4" t="s">
        <v>83</v>
      </c>
      <c r="C69" s="5" t="s">
        <v>75</v>
      </c>
      <c r="D69" s="2" t="s">
        <v>90</v>
      </c>
      <c r="E69" s="7">
        <f t="shared" si="3"/>
        <v>-22.343234088173396</v>
      </c>
      <c r="F69" s="3">
        <f t="shared" si="4"/>
        <v>-6.677228884004359</v>
      </c>
      <c r="G69" s="3">
        <f t="shared" si="5"/>
        <v>-6.024017931861874</v>
      </c>
      <c r="H69" s="7">
        <f t="shared" si="6"/>
        <v>-0.017148037382535987</v>
      </c>
      <c r="I69" s="56">
        <v>0</v>
      </c>
      <c r="J69" s="56">
        <v>0</v>
      </c>
      <c r="K69" s="56">
        <v>3</v>
      </c>
      <c r="L69" s="56">
        <v>0</v>
      </c>
      <c r="M69" s="93"/>
    </row>
    <row r="70" spans="1:13" ht="12" customHeight="1">
      <c r="A70" s="97"/>
      <c r="B70" s="4" t="s">
        <v>84</v>
      </c>
      <c r="C70" s="5" t="s">
        <v>75</v>
      </c>
      <c r="D70" s="2" t="s">
        <v>90</v>
      </c>
      <c r="E70" s="7">
        <f t="shared" si="3"/>
        <v>-25.976284460341713</v>
      </c>
      <c r="F70" s="3">
        <f t="shared" si="4"/>
        <v>-7.488966003011931</v>
      </c>
      <c r="G70" s="3">
        <f t="shared" si="5"/>
        <v>-5.024882076448055</v>
      </c>
      <c r="H70" s="7">
        <f t="shared" si="6"/>
        <v>-0.01311660385165704</v>
      </c>
      <c r="I70" s="56">
        <v>0</v>
      </c>
      <c r="J70" s="56">
        <v>0</v>
      </c>
      <c r="K70" s="56">
        <v>1</v>
      </c>
      <c r="L70" s="56">
        <v>0</v>
      </c>
      <c r="M70" s="93"/>
    </row>
    <row r="71" spans="1:13" ht="12" customHeight="1">
      <c r="A71" s="97"/>
      <c r="B71" s="4" t="s">
        <v>85</v>
      </c>
      <c r="C71" s="5" t="s">
        <v>75</v>
      </c>
      <c r="D71" s="2" t="s">
        <v>90</v>
      </c>
      <c r="E71" s="7">
        <f t="shared" si="3"/>
        <v>-31.60374924849313</v>
      </c>
      <c r="F71" s="3">
        <f t="shared" si="4"/>
        <v>-9.180169846598641</v>
      </c>
      <c r="G71" s="3">
        <f t="shared" si="5"/>
        <v>-3.7410196763101853</v>
      </c>
      <c r="H71" s="7">
        <f t="shared" si="6"/>
        <v>-0.04425997964839155</v>
      </c>
      <c r="I71" s="56">
        <v>0</v>
      </c>
      <c r="J71" s="56">
        <v>0</v>
      </c>
      <c r="K71" s="56">
        <v>-1.7</v>
      </c>
      <c r="L71" s="56">
        <v>0</v>
      </c>
      <c r="M71" s="93"/>
    </row>
    <row r="72" spans="1:13" ht="12" customHeight="1">
      <c r="A72" s="97"/>
      <c r="B72" s="4" t="s">
        <v>86</v>
      </c>
      <c r="C72" s="5" t="s">
        <v>75</v>
      </c>
      <c r="D72" s="2" t="s">
        <v>90</v>
      </c>
      <c r="E72" s="7">
        <f t="shared" si="3"/>
        <v>-37.681915309131206</v>
      </c>
      <c r="F72" s="3">
        <f t="shared" si="4"/>
        <v>-11.476132268317052</v>
      </c>
      <c r="G72" s="3">
        <f t="shared" si="5"/>
        <v>-2.5815699744641973</v>
      </c>
      <c r="H72" s="7">
        <f t="shared" si="6"/>
        <v>-0.04428442871339347</v>
      </c>
      <c r="I72" s="56">
        <v>0</v>
      </c>
      <c r="J72" s="56">
        <v>0</v>
      </c>
      <c r="K72" s="56">
        <v>-4.1</v>
      </c>
      <c r="L72" s="56">
        <v>0</v>
      </c>
      <c r="M72" s="93"/>
    </row>
    <row r="73" spans="1:13" ht="12" customHeight="1">
      <c r="A73" s="97"/>
      <c r="B73" s="4" t="s">
        <v>87</v>
      </c>
      <c r="C73" s="5" t="s">
        <v>75</v>
      </c>
      <c r="D73" s="2" t="s">
        <v>90</v>
      </c>
      <c r="E73" s="7">
        <f t="shared" si="3"/>
        <v>-44.66195883926911</v>
      </c>
      <c r="F73" s="3">
        <f t="shared" si="4"/>
        <v>-14.509460236738654</v>
      </c>
      <c r="G73" s="3">
        <f t="shared" si="5"/>
        <v>-1.608104806530192</v>
      </c>
      <c r="H73" s="7">
        <f t="shared" si="6"/>
        <v>-0.05046027790097128</v>
      </c>
      <c r="I73" s="56">
        <v>0</v>
      </c>
      <c r="J73" s="56">
        <v>0</v>
      </c>
      <c r="K73" s="56">
        <v>-6.4</v>
      </c>
      <c r="L73" s="56">
        <v>0</v>
      </c>
      <c r="M73" s="93"/>
    </row>
    <row r="74" spans="1:13" ht="12" customHeight="1">
      <c r="A74" s="98"/>
      <c r="B74" s="4" t="s">
        <v>88</v>
      </c>
      <c r="C74" s="5" t="s">
        <v>75</v>
      </c>
      <c r="D74" s="2" t="s">
        <v>90</v>
      </c>
      <c r="E74" s="7">
        <f t="shared" si="3"/>
        <v>-49.6371341506504</v>
      </c>
      <c r="F74" s="3">
        <f t="shared" si="4"/>
        <v>-16.82496705377174</v>
      </c>
      <c r="G74" s="3">
        <f t="shared" si="5"/>
        <v>-1.0842342290877207</v>
      </c>
      <c r="H74" s="7">
        <f t="shared" si="6"/>
        <v>-0.0324342339826113</v>
      </c>
      <c r="I74" s="56">
        <v>0</v>
      </c>
      <c r="J74" s="56">
        <v>0</v>
      </c>
      <c r="K74" s="56">
        <v>-7.7</v>
      </c>
      <c r="L74" s="56">
        <v>0</v>
      </c>
      <c r="M74" s="94"/>
    </row>
    <row r="75" spans="1:8" ht="12" customHeight="1">
      <c r="A75" s="96" t="s">
        <v>91</v>
      </c>
      <c r="B75" s="4">
        <v>20</v>
      </c>
      <c r="C75" s="5" t="s">
        <v>75</v>
      </c>
      <c r="D75" s="2" t="s">
        <v>92</v>
      </c>
      <c r="E75" s="6">
        <f aca="true" t="shared" si="7" ref="E75:E96">IF($H$17=0,0,E207)+180/PI()*ATAN2(E$28,-E97)</f>
        <v>-1.9950109732790386</v>
      </c>
      <c r="F75" s="6">
        <f aca="true" t="shared" si="8" ref="F75:F96">IF($H$17=0,0,F207)+180/PI()*(ATAN2((1+F163*E119),F141*E119)+ATAN2(F$28,-F97))</f>
        <v>268.70500998798263</v>
      </c>
      <c r="G75" s="6">
        <f aca="true" t="shared" si="9" ref="G75:G96">IF($H$17=0,0,G207)+180/PI()*(ATAN2((1+F163*E119),F141*E119)+ATAN2(G$28,F119))</f>
        <v>268.6572635564372</v>
      </c>
      <c r="H75" s="6">
        <f aca="true" t="shared" si="10" ref="H75:H96">180/3.14159*ATAN2((10^(E53/20)*COS(PI()*E75/180)+10^(F53/20)*COS(PI()*F75/180)+10^(G53/20)*COS(PI()*G75/180)),(10^(E53/20)*SIN(PI()*E75/180)+10^(F53/20)*SIN(PI()*F75/180)+10^(G53/20)*SIN(PI()*G75/180)))</f>
        <v>-2.6582611643731275</v>
      </c>
    </row>
    <row r="76" spans="1:8" ht="12" customHeight="1">
      <c r="A76" s="97"/>
      <c r="B76" s="4">
        <v>30</v>
      </c>
      <c r="C76" s="5" t="s">
        <v>75</v>
      </c>
      <c r="D76" s="2" t="s">
        <v>92</v>
      </c>
      <c r="E76" s="6">
        <f t="shared" si="7"/>
        <v>-2.9921353597710167</v>
      </c>
      <c r="F76" s="6">
        <f t="shared" si="8"/>
        <v>268.05773880974243</v>
      </c>
      <c r="G76" s="6">
        <f t="shared" si="9"/>
        <v>267.9861191831475</v>
      </c>
      <c r="H76" s="6">
        <f t="shared" si="10"/>
        <v>-3.9868679592006973</v>
      </c>
    </row>
    <row r="77" spans="1:8" ht="12" customHeight="1">
      <c r="A77" s="97"/>
      <c r="B77" s="4">
        <v>40</v>
      </c>
      <c r="C77" s="5" t="s">
        <v>75</v>
      </c>
      <c r="D77" s="2" t="s">
        <v>92</v>
      </c>
      <c r="E77" s="6">
        <f t="shared" si="7"/>
        <v>-3.988802821700454</v>
      </c>
      <c r="F77" s="6">
        <f t="shared" si="8"/>
        <v>267.4107359748516</v>
      </c>
      <c r="G77" s="6">
        <f t="shared" si="9"/>
        <v>267.315243178075</v>
      </c>
      <c r="H77" s="6">
        <f t="shared" si="10"/>
        <v>-5.314846765940163</v>
      </c>
    </row>
    <row r="78" spans="1:8" ht="12" customHeight="1">
      <c r="A78" s="97"/>
      <c r="B78" s="4">
        <v>50</v>
      </c>
      <c r="C78" s="5" t="s">
        <v>75</v>
      </c>
      <c r="D78" s="2" t="s">
        <v>92</v>
      </c>
      <c r="E78" s="6">
        <f t="shared" si="7"/>
        <v>-4.984861709245186</v>
      </c>
      <c r="F78" s="6">
        <f t="shared" si="8"/>
        <v>266.764090515147</v>
      </c>
      <c r="G78" s="6">
        <f t="shared" si="9"/>
        <v>266.64472458134566</v>
      </c>
      <c r="H78" s="6">
        <f t="shared" si="10"/>
        <v>-6.641989181745966</v>
      </c>
    </row>
    <row r="79" spans="1:8" ht="12" customHeight="1">
      <c r="A79" s="97"/>
      <c r="B79" s="4">
        <v>70</v>
      </c>
      <c r="C79" s="5" t="s">
        <v>75</v>
      </c>
      <c r="D79" s="2" t="s">
        <v>92</v>
      </c>
      <c r="E79" s="6">
        <f t="shared" si="7"/>
        <v>-6.974550111678003</v>
      </c>
      <c r="F79" s="6">
        <f t="shared" si="8"/>
        <v>265.47222598562524</v>
      </c>
      <c r="G79" s="6">
        <f t="shared" si="9"/>
        <v>265.305113910402</v>
      </c>
      <c r="H79" s="6">
        <f t="shared" si="10"/>
        <v>-9.29293538052152</v>
      </c>
    </row>
    <row r="80" spans="1:8" ht="12" customHeight="1">
      <c r="A80" s="97"/>
      <c r="B80" s="4">
        <v>100</v>
      </c>
      <c r="C80" s="5" t="s">
        <v>75</v>
      </c>
      <c r="D80" s="2" t="s">
        <v>92</v>
      </c>
      <c r="E80" s="6">
        <f t="shared" si="7"/>
        <v>-9.950766837399781</v>
      </c>
      <c r="F80" s="6">
        <f t="shared" si="8"/>
        <v>263.53931025003016</v>
      </c>
      <c r="G80" s="6">
        <f t="shared" si="9"/>
        <v>263.30057941857643</v>
      </c>
      <c r="H80" s="6">
        <f t="shared" si="10"/>
        <v>-13.257927513702182</v>
      </c>
    </row>
    <row r="81" spans="1:8" ht="12" customHeight="1">
      <c r="A81" s="97"/>
      <c r="B81" s="4">
        <v>150</v>
      </c>
      <c r="C81" s="5" t="s">
        <v>75</v>
      </c>
      <c r="D81" s="2" t="s">
        <v>92</v>
      </c>
      <c r="E81" s="6">
        <f t="shared" si="7"/>
        <v>-14.87919254856606</v>
      </c>
      <c r="F81" s="6">
        <f t="shared" si="8"/>
        <v>260.3365147283522</v>
      </c>
      <c r="G81" s="6">
        <f t="shared" si="9"/>
        <v>259.9784210714898</v>
      </c>
      <c r="H81" s="6">
        <f t="shared" si="10"/>
        <v>-19.822374616965664</v>
      </c>
    </row>
    <row r="82" spans="1:8" ht="12" customHeight="1">
      <c r="A82" s="97"/>
      <c r="B82" s="4">
        <v>200</v>
      </c>
      <c r="C82" s="5" t="s">
        <v>75</v>
      </c>
      <c r="D82" s="2" t="s">
        <v>92</v>
      </c>
      <c r="E82" s="6">
        <f t="shared" si="7"/>
        <v>-19.7524587284374</v>
      </c>
      <c r="F82" s="6">
        <f t="shared" si="8"/>
        <v>257.1660288771368</v>
      </c>
      <c r="G82" s="6">
        <f t="shared" si="9"/>
        <v>256.6885755030965</v>
      </c>
      <c r="H82" s="6">
        <f t="shared" si="10"/>
        <v>-26.311076394955702</v>
      </c>
    </row>
    <row r="83" spans="1:8" ht="12" customHeight="1">
      <c r="A83" s="97"/>
      <c r="B83" s="4">
        <v>300</v>
      </c>
      <c r="C83" s="5" t="s">
        <v>75</v>
      </c>
      <c r="D83" s="2" t="s">
        <v>92</v>
      </c>
      <c r="E83" s="6">
        <f t="shared" si="7"/>
        <v>-29.26911376440418</v>
      </c>
      <c r="F83" s="6">
        <f t="shared" si="8"/>
        <v>250.9593248454484</v>
      </c>
      <c r="G83" s="6">
        <f t="shared" si="9"/>
        <v>250.2431655048294</v>
      </c>
      <c r="H83" s="6">
        <f t="shared" si="10"/>
        <v>-38.867451701172754</v>
      </c>
    </row>
    <row r="84" spans="1:8" ht="12" customHeight="1">
      <c r="A84" s="97"/>
      <c r="B84" s="4">
        <v>400</v>
      </c>
      <c r="C84" s="5" t="s">
        <v>75</v>
      </c>
      <c r="D84" s="2" t="s">
        <v>92</v>
      </c>
      <c r="E84" s="6">
        <f t="shared" si="7"/>
        <v>-38.38821512674587</v>
      </c>
      <c r="F84" s="6">
        <f t="shared" si="8"/>
        <v>244.98375826923103</v>
      </c>
      <c r="G84" s="6">
        <f t="shared" si="9"/>
        <v>244.02891782172944</v>
      </c>
      <c r="H84" s="6">
        <f t="shared" si="10"/>
        <v>-50.694559818912694</v>
      </c>
    </row>
    <row r="85" spans="1:8" ht="12" customHeight="1">
      <c r="A85" s="97"/>
      <c r="B85" s="4">
        <v>500</v>
      </c>
      <c r="C85" s="5" t="s">
        <v>75</v>
      </c>
      <c r="D85" s="2" t="s">
        <v>92</v>
      </c>
      <c r="E85" s="6">
        <f t="shared" si="7"/>
        <v>-47.02650902034784</v>
      </c>
      <c r="F85" s="6">
        <f t="shared" si="8"/>
        <v>239.28590502471565</v>
      </c>
      <c r="G85" s="6">
        <f t="shared" si="9"/>
        <v>238.0924166085394</v>
      </c>
      <c r="H85" s="6">
        <f t="shared" si="10"/>
        <v>-61.78630410636511</v>
      </c>
    </row>
    <row r="86" spans="1:8" ht="12" customHeight="1">
      <c r="A86" s="97"/>
      <c r="B86" s="4">
        <v>700</v>
      </c>
      <c r="C86" s="5" t="s">
        <v>75</v>
      </c>
      <c r="D86" s="2" t="s">
        <v>92</v>
      </c>
      <c r="E86" s="6">
        <f t="shared" si="7"/>
        <v>-62.67662656291057</v>
      </c>
      <c r="F86" s="6">
        <f t="shared" si="8"/>
        <v>228.82023318589694</v>
      </c>
      <c r="G86" s="6">
        <f t="shared" si="9"/>
        <v>227.1495813248377</v>
      </c>
      <c r="H86" s="6">
        <f t="shared" si="10"/>
        <v>-81.46935366286007</v>
      </c>
    </row>
    <row r="87" spans="1:8" ht="12" customHeight="1">
      <c r="A87" s="97"/>
      <c r="B87" s="4" t="s">
        <v>78</v>
      </c>
      <c r="C87" s="5" t="s">
        <v>75</v>
      </c>
      <c r="D87" s="2" t="s">
        <v>92</v>
      </c>
      <c r="E87" s="6">
        <f t="shared" si="7"/>
        <v>-82.01326951799993</v>
      </c>
      <c r="F87" s="6">
        <f t="shared" si="8"/>
        <v>215.4543145679062</v>
      </c>
      <c r="G87" s="6">
        <f t="shared" si="9"/>
        <v>213.06837255050905</v>
      </c>
      <c r="H87" s="6">
        <f t="shared" si="10"/>
        <v>-105.06476264482157</v>
      </c>
    </row>
    <row r="88" spans="1:8" ht="12" customHeight="1">
      <c r="A88" s="97"/>
      <c r="B88" s="4" t="s">
        <v>79</v>
      </c>
      <c r="C88" s="5" t="s">
        <v>75</v>
      </c>
      <c r="D88" s="2" t="s">
        <v>92</v>
      </c>
      <c r="E88" s="6">
        <f t="shared" si="7"/>
        <v>-105.01089783328734</v>
      </c>
      <c r="F88" s="6">
        <f t="shared" si="8"/>
        <v>198.304264240039</v>
      </c>
      <c r="G88" s="6">
        <f t="shared" si="9"/>
        <v>194.72793287800195</v>
      </c>
      <c r="H88" s="6">
        <f t="shared" si="10"/>
        <v>-133.25907630305304</v>
      </c>
    </row>
    <row r="89" spans="1:8" ht="12" customHeight="1">
      <c r="A89" s="97"/>
      <c r="B89" s="4" t="s">
        <v>80</v>
      </c>
      <c r="C89" s="5" t="s">
        <v>75</v>
      </c>
      <c r="D89" s="2" t="s">
        <v>92</v>
      </c>
      <c r="E89" s="6">
        <f t="shared" si="7"/>
        <v>-120.1518233689074</v>
      </c>
      <c r="F89" s="6">
        <f t="shared" si="8"/>
        <v>185.53912091636644</v>
      </c>
      <c r="G89" s="6">
        <f t="shared" si="9"/>
        <v>180.77548323079958</v>
      </c>
      <c r="H89" s="6">
        <f t="shared" si="10"/>
        <v>-161.0477129269399</v>
      </c>
    </row>
    <row r="90" spans="1:8" ht="12" customHeight="1">
      <c r="A90" s="97"/>
      <c r="B90" s="4" t="s">
        <v>82</v>
      </c>
      <c r="C90" s="5" t="s">
        <v>75</v>
      </c>
      <c r="D90" s="2" t="s">
        <v>92</v>
      </c>
      <c r="E90" s="6">
        <f t="shared" si="7"/>
        <v>-138.00065905832912</v>
      </c>
      <c r="F90" s="6">
        <f t="shared" si="8"/>
        <v>167.4178043823805</v>
      </c>
      <c r="G90" s="6">
        <f t="shared" si="9"/>
        <v>160.2927939898695</v>
      </c>
      <c r="H90" s="6">
        <f t="shared" si="10"/>
        <v>171.08655626926122</v>
      </c>
    </row>
    <row r="91" spans="1:8" ht="12" customHeight="1">
      <c r="A91" s="97"/>
      <c r="B91" s="4" t="s">
        <v>83</v>
      </c>
      <c r="C91" s="5" t="s">
        <v>75</v>
      </c>
      <c r="D91" s="2" t="s">
        <v>92</v>
      </c>
      <c r="E91" s="6">
        <f t="shared" si="7"/>
        <v>-147.87393270967056</v>
      </c>
      <c r="F91" s="6">
        <f t="shared" si="8"/>
        <v>154.843129571967</v>
      </c>
      <c r="G91" s="6">
        <f t="shared" si="9"/>
        <v>145.3808152118888</v>
      </c>
      <c r="H91" s="6">
        <f t="shared" si="10"/>
        <v>153.81410800867073</v>
      </c>
    </row>
    <row r="92" spans="1:8" ht="12" customHeight="1">
      <c r="A92" s="97"/>
      <c r="B92" s="4" t="s">
        <v>84</v>
      </c>
      <c r="C92" s="5" t="s">
        <v>75</v>
      </c>
      <c r="D92" s="2" t="s">
        <v>92</v>
      </c>
      <c r="E92" s="6">
        <f t="shared" si="7"/>
        <v>-154.05458003936806</v>
      </c>
      <c r="F92" s="6">
        <f t="shared" si="8"/>
        <v>145.526635879112</v>
      </c>
      <c r="G92" s="6">
        <f t="shared" si="9"/>
        <v>133.75835661012158</v>
      </c>
      <c r="H92" s="6">
        <f t="shared" si="10"/>
        <v>141.46881401944077</v>
      </c>
    </row>
    <row r="93" spans="1:8" ht="12" customHeight="1">
      <c r="A93" s="97"/>
      <c r="B93" s="4" t="s">
        <v>85</v>
      </c>
      <c r="C93" s="5" t="s">
        <v>75</v>
      </c>
      <c r="D93" s="2" t="s">
        <v>92</v>
      </c>
      <c r="E93" s="6">
        <f t="shared" si="7"/>
        <v>-161.31042898957799</v>
      </c>
      <c r="F93" s="6">
        <f t="shared" si="8"/>
        <v>132.7292636072238</v>
      </c>
      <c r="G93" s="6">
        <f t="shared" si="9"/>
        <v>116.46907190767007</v>
      </c>
      <c r="H93" s="6">
        <f t="shared" si="10"/>
        <v>123.5914753317852</v>
      </c>
    </row>
    <row r="94" spans="1:8" ht="12" customHeight="1">
      <c r="A94" s="97"/>
      <c r="B94" s="4" t="s">
        <v>86</v>
      </c>
      <c r="C94" s="5" t="s">
        <v>75</v>
      </c>
      <c r="D94" s="2" t="s">
        <v>92</v>
      </c>
      <c r="E94" s="6">
        <f t="shared" si="7"/>
        <v>-166.85747175723225</v>
      </c>
      <c r="F94" s="6">
        <f t="shared" si="8"/>
        <v>121.39422993388078</v>
      </c>
      <c r="G94" s="6">
        <f t="shared" si="9"/>
        <v>98.77438216773882</v>
      </c>
      <c r="H94" s="6">
        <f t="shared" si="10"/>
        <v>105.44899215718556</v>
      </c>
    </row>
    <row r="95" spans="1:8" ht="12" customHeight="1">
      <c r="A95" s="97"/>
      <c r="B95" s="4" t="s">
        <v>87</v>
      </c>
      <c r="C95" s="5" t="s">
        <v>75</v>
      </c>
      <c r="D95" s="2" t="s">
        <v>92</v>
      </c>
      <c r="E95" s="6">
        <f t="shared" si="7"/>
        <v>-171.216751239892</v>
      </c>
      <c r="F95" s="6">
        <f t="shared" si="8"/>
        <v>111.55371826944933</v>
      </c>
      <c r="G95" s="6">
        <f t="shared" si="9"/>
        <v>79.54835681223597</v>
      </c>
      <c r="H95" s="6">
        <f t="shared" si="10"/>
        <v>85.62502320337933</v>
      </c>
    </row>
    <row r="96" spans="1:8" ht="12" customHeight="1">
      <c r="A96" s="98"/>
      <c r="B96" s="4" t="s">
        <v>88</v>
      </c>
      <c r="C96" s="5" t="s">
        <v>75</v>
      </c>
      <c r="D96" s="2" t="s">
        <v>92</v>
      </c>
      <c r="E96" s="6">
        <f t="shared" si="7"/>
        <v>-173.40686875399342</v>
      </c>
      <c r="F96" s="6">
        <f t="shared" si="8"/>
        <v>106.34409842734773</v>
      </c>
      <c r="G96" s="6">
        <f t="shared" si="9"/>
        <v>66.53855113624222</v>
      </c>
      <c r="H96" s="6">
        <f t="shared" si="10"/>
        <v>72.01749561195177</v>
      </c>
    </row>
    <row r="97" spans="1:8" ht="12" customHeight="1">
      <c r="A97" s="96" t="s">
        <v>93</v>
      </c>
      <c r="B97" s="4">
        <v>20</v>
      </c>
      <c r="C97" s="5" t="s">
        <v>75</v>
      </c>
      <c r="D97" s="2" t="s">
        <v>94</v>
      </c>
      <c r="E97" s="6">
        <f aca="true" t="shared" si="11" ref="E97:F118">2*3.14159*$B97*E$18*0.001</f>
        <v>0.12036687080743202</v>
      </c>
      <c r="F97" s="6">
        <f t="shared" si="11"/>
        <v>0.027914870038319342</v>
      </c>
      <c r="G97" s="6"/>
      <c r="H97" s="6"/>
    </row>
    <row r="98" spans="1:8" ht="12" customHeight="1">
      <c r="A98" s="97"/>
      <c r="B98" s="4">
        <v>30</v>
      </c>
      <c r="C98" s="5" t="s">
        <v>75</v>
      </c>
      <c r="D98" s="2" t="s">
        <v>94</v>
      </c>
      <c r="E98" s="6">
        <f t="shared" si="11"/>
        <v>0.180550306211148</v>
      </c>
      <c r="F98" s="6">
        <f t="shared" si="11"/>
        <v>0.04187230505747901</v>
      </c>
      <c r="G98" s="6"/>
      <c r="H98" s="6"/>
    </row>
    <row r="99" spans="1:8" ht="12" customHeight="1">
      <c r="A99" s="97"/>
      <c r="B99" s="4">
        <v>40</v>
      </c>
      <c r="C99" s="5" t="s">
        <v>75</v>
      </c>
      <c r="D99" s="2" t="s">
        <v>94</v>
      </c>
      <c r="E99" s="6">
        <f t="shared" si="11"/>
        <v>0.24073374161486405</v>
      </c>
      <c r="F99" s="6">
        <f t="shared" si="11"/>
        <v>0.055829740076638684</v>
      </c>
      <c r="G99" s="6"/>
      <c r="H99" s="6"/>
    </row>
    <row r="100" spans="1:8" ht="12" customHeight="1">
      <c r="A100" s="97"/>
      <c r="B100" s="4">
        <v>50</v>
      </c>
      <c r="C100" s="5" t="s">
        <v>75</v>
      </c>
      <c r="D100" s="2" t="s">
        <v>94</v>
      </c>
      <c r="E100" s="6">
        <f t="shared" si="11"/>
        <v>0.30091717701858006</v>
      </c>
      <c r="F100" s="6">
        <f t="shared" si="11"/>
        <v>0.06978717509579836</v>
      </c>
      <c r="G100" s="6"/>
      <c r="H100" s="6"/>
    </row>
    <row r="101" spans="1:8" ht="12" customHeight="1">
      <c r="A101" s="97"/>
      <c r="B101" s="4">
        <v>70</v>
      </c>
      <c r="C101" s="5" t="s">
        <v>75</v>
      </c>
      <c r="D101" s="2" t="s">
        <v>94</v>
      </c>
      <c r="E101" s="6">
        <f t="shared" si="11"/>
        <v>0.4212840478260121</v>
      </c>
      <c r="F101" s="6">
        <f t="shared" si="11"/>
        <v>0.0977020451341177</v>
      </c>
      <c r="G101" s="6"/>
      <c r="H101" s="6"/>
    </row>
    <row r="102" spans="1:8" ht="12" customHeight="1">
      <c r="A102" s="97"/>
      <c r="B102" s="4">
        <v>100</v>
      </c>
      <c r="C102" s="5" t="s">
        <v>75</v>
      </c>
      <c r="D102" s="2" t="s">
        <v>94</v>
      </c>
      <c r="E102" s="6">
        <f t="shared" si="11"/>
        <v>0.6018343540371601</v>
      </c>
      <c r="F102" s="6">
        <f t="shared" si="11"/>
        <v>0.13957435019159672</v>
      </c>
      <c r="G102" s="6"/>
      <c r="H102" s="6"/>
    </row>
    <row r="103" spans="1:8" ht="12" customHeight="1">
      <c r="A103" s="97"/>
      <c r="B103" s="4">
        <v>150</v>
      </c>
      <c r="C103" s="5" t="s">
        <v>75</v>
      </c>
      <c r="D103" s="2" t="s">
        <v>94</v>
      </c>
      <c r="E103" s="6">
        <f t="shared" si="11"/>
        <v>0.9027515310557401</v>
      </c>
      <c r="F103" s="6">
        <f t="shared" si="11"/>
        <v>0.20936152528739507</v>
      </c>
      <c r="G103" s="6"/>
      <c r="H103" s="6"/>
    </row>
    <row r="104" spans="1:8" ht="12" customHeight="1">
      <c r="A104" s="97"/>
      <c r="B104" s="4">
        <v>200</v>
      </c>
      <c r="C104" s="5" t="s">
        <v>75</v>
      </c>
      <c r="D104" s="2" t="s">
        <v>94</v>
      </c>
      <c r="E104" s="6">
        <f t="shared" si="11"/>
        <v>1.2036687080743202</v>
      </c>
      <c r="F104" s="6">
        <f t="shared" si="11"/>
        <v>0.27914870038319345</v>
      </c>
      <c r="G104" s="6"/>
      <c r="H104" s="6"/>
    </row>
    <row r="105" spans="1:8" ht="12" customHeight="1">
      <c r="A105" s="97"/>
      <c r="B105" s="4">
        <v>300</v>
      </c>
      <c r="C105" s="5" t="s">
        <v>75</v>
      </c>
      <c r="D105" s="2" t="s">
        <v>94</v>
      </c>
      <c r="E105" s="6">
        <f t="shared" si="11"/>
        <v>1.8055030621114803</v>
      </c>
      <c r="F105" s="6">
        <f t="shared" si="11"/>
        <v>0.41872305057479015</v>
      </c>
      <c r="G105" s="6"/>
      <c r="H105" s="6"/>
    </row>
    <row r="106" spans="1:8" ht="12" customHeight="1">
      <c r="A106" s="97"/>
      <c r="B106" s="4">
        <v>400</v>
      </c>
      <c r="C106" s="5" t="s">
        <v>75</v>
      </c>
      <c r="D106" s="2" t="s">
        <v>94</v>
      </c>
      <c r="E106" s="6">
        <f t="shared" si="11"/>
        <v>2.4073374161486405</v>
      </c>
      <c r="F106" s="6">
        <f t="shared" si="11"/>
        <v>0.5582974007663869</v>
      </c>
      <c r="G106" s="6"/>
      <c r="H106" s="6"/>
    </row>
    <row r="107" spans="1:8" ht="12" customHeight="1">
      <c r="A107" s="97"/>
      <c r="B107" s="4">
        <v>500</v>
      </c>
      <c r="C107" s="5" t="s">
        <v>75</v>
      </c>
      <c r="D107" s="2" t="s">
        <v>94</v>
      </c>
      <c r="E107" s="6">
        <f t="shared" si="11"/>
        <v>3.0091717701858003</v>
      </c>
      <c r="F107" s="6">
        <f t="shared" si="11"/>
        <v>0.6978717509579835</v>
      </c>
      <c r="G107" s="6"/>
      <c r="H107" s="6"/>
    </row>
    <row r="108" spans="1:8" ht="12" customHeight="1">
      <c r="A108" s="97"/>
      <c r="B108" s="4">
        <v>700</v>
      </c>
      <c r="C108" s="5" t="s">
        <v>75</v>
      </c>
      <c r="D108" s="2" t="s">
        <v>94</v>
      </c>
      <c r="E108" s="6">
        <f t="shared" si="11"/>
        <v>4.21284047826012</v>
      </c>
      <c r="F108" s="6">
        <f t="shared" si="11"/>
        <v>0.9770204513411769</v>
      </c>
      <c r="G108" s="6"/>
      <c r="H108" s="6"/>
    </row>
    <row r="109" spans="1:8" ht="12" customHeight="1">
      <c r="A109" s="97"/>
      <c r="B109" s="4">
        <v>1000</v>
      </c>
      <c r="C109" s="5" t="s">
        <v>75</v>
      </c>
      <c r="D109" s="2" t="s">
        <v>94</v>
      </c>
      <c r="E109" s="6">
        <f t="shared" si="11"/>
        <v>6.018343540371601</v>
      </c>
      <c r="F109" s="6">
        <f t="shared" si="11"/>
        <v>1.395743501915967</v>
      </c>
      <c r="G109" s="6"/>
      <c r="H109" s="6"/>
    </row>
    <row r="110" spans="1:8" ht="12" customHeight="1">
      <c r="A110" s="97"/>
      <c r="B110" s="4">
        <v>1500</v>
      </c>
      <c r="C110" s="5" t="s">
        <v>75</v>
      </c>
      <c r="D110" s="2" t="s">
        <v>94</v>
      </c>
      <c r="E110" s="6">
        <f t="shared" si="11"/>
        <v>9.027515310557403</v>
      </c>
      <c r="F110" s="6">
        <f t="shared" si="11"/>
        <v>2.093615252873951</v>
      </c>
      <c r="G110" s="6"/>
      <c r="H110" s="6"/>
    </row>
    <row r="111" spans="1:8" ht="12" customHeight="1">
      <c r="A111" s="97"/>
      <c r="B111" s="4">
        <v>2000</v>
      </c>
      <c r="C111" s="5" t="s">
        <v>75</v>
      </c>
      <c r="D111" s="2" t="s">
        <v>94</v>
      </c>
      <c r="E111" s="6">
        <f t="shared" si="11"/>
        <v>12.036687080743201</v>
      </c>
      <c r="F111" s="6">
        <f t="shared" si="11"/>
        <v>2.791487003831934</v>
      </c>
      <c r="G111" s="6"/>
      <c r="H111" s="6"/>
    </row>
    <row r="112" spans="1:8" ht="12" customHeight="1">
      <c r="A112" s="97"/>
      <c r="B112" s="4">
        <v>3000</v>
      </c>
      <c r="C112" s="5" t="s">
        <v>75</v>
      </c>
      <c r="D112" s="2" t="s">
        <v>94</v>
      </c>
      <c r="E112" s="6">
        <f t="shared" si="11"/>
        <v>18.055030621114806</v>
      </c>
      <c r="F112" s="6">
        <f t="shared" si="11"/>
        <v>4.187230505747902</v>
      </c>
      <c r="G112" s="6"/>
      <c r="H112" s="6"/>
    </row>
    <row r="113" spans="1:8" ht="12" customHeight="1">
      <c r="A113" s="97"/>
      <c r="B113" s="4">
        <v>4000</v>
      </c>
      <c r="C113" s="5" t="s">
        <v>75</v>
      </c>
      <c r="D113" s="2" t="s">
        <v>94</v>
      </c>
      <c r="E113" s="6">
        <f t="shared" si="11"/>
        <v>24.073374161486402</v>
      </c>
      <c r="F113" s="6">
        <f t="shared" si="11"/>
        <v>5.582974007663868</v>
      </c>
      <c r="G113" s="6"/>
      <c r="H113" s="6"/>
    </row>
    <row r="114" spans="1:8" ht="12" customHeight="1">
      <c r="A114" s="97"/>
      <c r="B114" s="4">
        <v>5000</v>
      </c>
      <c r="C114" s="5" t="s">
        <v>75</v>
      </c>
      <c r="D114" s="2" t="s">
        <v>94</v>
      </c>
      <c r="E114" s="6">
        <f t="shared" si="11"/>
        <v>30.091717701858006</v>
      </c>
      <c r="F114" s="6">
        <f t="shared" si="11"/>
        <v>6.978717509579836</v>
      </c>
      <c r="G114" s="6"/>
      <c r="H114" s="6"/>
    </row>
    <row r="115" spans="1:8" ht="12" customHeight="1">
      <c r="A115" s="97"/>
      <c r="B115" s="4">
        <v>7000</v>
      </c>
      <c r="C115" s="5" t="s">
        <v>75</v>
      </c>
      <c r="D115" s="2" t="s">
        <v>94</v>
      </c>
      <c r="E115" s="6">
        <f t="shared" si="11"/>
        <v>42.1284047826012</v>
      </c>
      <c r="F115" s="6">
        <f t="shared" si="11"/>
        <v>9.77020451341177</v>
      </c>
      <c r="G115" s="6"/>
      <c r="H115" s="6"/>
    </row>
    <row r="116" spans="1:8" ht="12" customHeight="1">
      <c r="A116" s="97"/>
      <c r="B116" s="4">
        <v>10000</v>
      </c>
      <c r="C116" s="5" t="s">
        <v>75</v>
      </c>
      <c r="D116" s="2" t="s">
        <v>94</v>
      </c>
      <c r="E116" s="6">
        <f t="shared" si="11"/>
        <v>60.18343540371601</v>
      </c>
      <c r="F116" s="6">
        <f t="shared" si="11"/>
        <v>13.957435019159671</v>
      </c>
      <c r="G116" s="6"/>
      <c r="H116" s="6"/>
    </row>
    <row r="117" spans="1:8" ht="12" customHeight="1">
      <c r="A117" s="97"/>
      <c r="B117" s="4">
        <v>15000</v>
      </c>
      <c r="C117" s="5" t="s">
        <v>75</v>
      </c>
      <c r="D117" s="2" t="s">
        <v>94</v>
      </c>
      <c r="E117" s="6">
        <f t="shared" si="11"/>
        <v>90.27515310557402</v>
      </c>
      <c r="F117" s="6">
        <f t="shared" si="11"/>
        <v>20.93615252873951</v>
      </c>
      <c r="G117" s="6"/>
      <c r="H117" s="6"/>
    </row>
    <row r="118" spans="1:8" ht="12" customHeight="1">
      <c r="A118" s="98"/>
      <c r="B118" s="4">
        <v>20000</v>
      </c>
      <c r="C118" s="5" t="s">
        <v>75</v>
      </c>
      <c r="D118" s="2" t="s">
        <v>94</v>
      </c>
      <c r="E118" s="6">
        <f t="shared" si="11"/>
        <v>120.36687080743202</v>
      </c>
      <c r="F118" s="6">
        <f t="shared" si="11"/>
        <v>27.914870038319343</v>
      </c>
      <c r="G118" s="6"/>
      <c r="H118" s="6"/>
    </row>
    <row r="119" spans="1:8" ht="12" customHeight="1">
      <c r="A119" s="96" t="s">
        <v>95</v>
      </c>
      <c r="B119" s="4">
        <v>20</v>
      </c>
      <c r="C119" s="5" t="s">
        <v>75</v>
      </c>
      <c r="D119" s="2" t="s">
        <v>94</v>
      </c>
      <c r="E119" s="6">
        <f aca="true" t="shared" si="12" ref="E119:F140">1/(2*3.14159*$B97*E$19/1000000)</f>
        <v>357.52030198448006</v>
      </c>
      <c r="F119" s="6">
        <f t="shared" si="12"/>
        <v>1541.601302134914</v>
      </c>
      <c r="G119" s="6"/>
      <c r="H119" s="6"/>
    </row>
    <row r="120" spans="1:8" ht="12" customHeight="1">
      <c r="A120" s="97"/>
      <c r="B120" s="4">
        <v>30</v>
      </c>
      <c r="C120" s="5" t="s">
        <v>75</v>
      </c>
      <c r="D120" s="2" t="s">
        <v>94</v>
      </c>
      <c r="E120" s="6">
        <f t="shared" si="12"/>
        <v>238.34686798965336</v>
      </c>
      <c r="F120" s="6">
        <f t="shared" si="12"/>
        <v>1027.734201423276</v>
      </c>
      <c r="G120" s="6"/>
      <c r="H120" s="6"/>
    </row>
    <row r="121" spans="1:8" ht="12" customHeight="1">
      <c r="A121" s="97"/>
      <c r="B121" s="4">
        <v>40</v>
      </c>
      <c r="C121" s="5" t="s">
        <v>75</v>
      </c>
      <c r="D121" s="2" t="s">
        <v>94</v>
      </c>
      <c r="E121" s="6">
        <f t="shared" si="12"/>
        <v>178.76015099224003</v>
      </c>
      <c r="F121" s="6">
        <f t="shared" si="12"/>
        <v>770.800651067457</v>
      </c>
      <c r="G121" s="6"/>
      <c r="H121" s="6"/>
    </row>
    <row r="122" spans="1:8" ht="12" customHeight="1">
      <c r="A122" s="97"/>
      <c r="B122" s="4">
        <v>50</v>
      </c>
      <c r="C122" s="5" t="s">
        <v>75</v>
      </c>
      <c r="D122" s="2" t="s">
        <v>94</v>
      </c>
      <c r="E122" s="6">
        <f t="shared" si="12"/>
        <v>143.00812079379202</v>
      </c>
      <c r="F122" s="6">
        <f t="shared" si="12"/>
        <v>616.6405208539655</v>
      </c>
      <c r="G122" s="6"/>
      <c r="H122" s="6"/>
    </row>
    <row r="123" spans="1:8" ht="12" customHeight="1">
      <c r="A123" s="97"/>
      <c r="B123" s="4">
        <v>70</v>
      </c>
      <c r="C123" s="5" t="s">
        <v>75</v>
      </c>
      <c r="D123" s="2" t="s">
        <v>94</v>
      </c>
      <c r="E123" s="6">
        <f t="shared" si="12"/>
        <v>102.14865770985146</v>
      </c>
      <c r="F123" s="6">
        <f t="shared" si="12"/>
        <v>440.4575148956898</v>
      </c>
      <c r="G123" s="6"/>
      <c r="H123" s="6"/>
    </row>
    <row r="124" spans="1:8" ht="12" customHeight="1">
      <c r="A124" s="97"/>
      <c r="B124" s="4">
        <v>100</v>
      </c>
      <c r="C124" s="5" t="s">
        <v>75</v>
      </c>
      <c r="D124" s="2" t="s">
        <v>94</v>
      </c>
      <c r="E124" s="6">
        <f t="shared" si="12"/>
        <v>71.50406039689601</v>
      </c>
      <c r="F124" s="6">
        <f t="shared" si="12"/>
        <v>308.32026042698277</v>
      </c>
      <c r="G124" s="6"/>
      <c r="H124" s="6"/>
    </row>
    <row r="125" spans="1:8" ht="12" customHeight="1">
      <c r="A125" s="97"/>
      <c r="B125" s="4">
        <v>150</v>
      </c>
      <c r="C125" s="5" t="s">
        <v>75</v>
      </c>
      <c r="D125" s="2" t="s">
        <v>94</v>
      </c>
      <c r="E125" s="6">
        <f t="shared" si="12"/>
        <v>47.66937359793067</v>
      </c>
      <c r="F125" s="6">
        <f t="shared" si="12"/>
        <v>205.5468402846552</v>
      </c>
      <c r="G125" s="6"/>
      <c r="H125" s="6"/>
    </row>
    <row r="126" spans="1:8" ht="12" customHeight="1">
      <c r="A126" s="97"/>
      <c r="B126" s="4">
        <v>200</v>
      </c>
      <c r="C126" s="5" t="s">
        <v>75</v>
      </c>
      <c r="D126" s="2" t="s">
        <v>94</v>
      </c>
      <c r="E126" s="6">
        <f t="shared" si="12"/>
        <v>35.752030198448004</v>
      </c>
      <c r="F126" s="6">
        <f t="shared" si="12"/>
        <v>154.16013021349139</v>
      </c>
      <c r="G126" s="6"/>
      <c r="H126" s="6"/>
    </row>
    <row r="127" spans="1:8" ht="12" customHeight="1">
      <c r="A127" s="97"/>
      <c r="B127" s="4">
        <v>300</v>
      </c>
      <c r="C127" s="5" t="s">
        <v>75</v>
      </c>
      <c r="D127" s="2" t="s">
        <v>94</v>
      </c>
      <c r="E127" s="6">
        <f t="shared" si="12"/>
        <v>23.834686798965336</v>
      </c>
      <c r="F127" s="6">
        <f t="shared" si="12"/>
        <v>102.7734201423276</v>
      </c>
      <c r="G127" s="6"/>
      <c r="H127" s="6"/>
    </row>
    <row r="128" spans="1:8" ht="12" customHeight="1">
      <c r="A128" s="97"/>
      <c r="B128" s="4">
        <v>400</v>
      </c>
      <c r="C128" s="5" t="s">
        <v>75</v>
      </c>
      <c r="D128" s="2" t="s">
        <v>94</v>
      </c>
      <c r="E128" s="6">
        <f t="shared" si="12"/>
        <v>17.876015099224002</v>
      </c>
      <c r="F128" s="6">
        <f t="shared" si="12"/>
        <v>77.08006510674569</v>
      </c>
      <c r="G128" s="6"/>
      <c r="H128" s="6"/>
    </row>
    <row r="129" spans="1:8" ht="12" customHeight="1">
      <c r="A129" s="97"/>
      <c r="B129" s="4">
        <v>500</v>
      </c>
      <c r="C129" s="5" t="s">
        <v>75</v>
      </c>
      <c r="D129" s="2" t="s">
        <v>94</v>
      </c>
      <c r="E129" s="6">
        <f t="shared" si="12"/>
        <v>14.300812079379206</v>
      </c>
      <c r="F129" s="6">
        <f t="shared" si="12"/>
        <v>61.66405208539657</v>
      </c>
      <c r="G129" s="6"/>
      <c r="H129" s="6"/>
    </row>
    <row r="130" spans="1:8" ht="12" customHeight="1">
      <c r="A130" s="97"/>
      <c r="B130" s="4">
        <v>700</v>
      </c>
      <c r="C130" s="5" t="s">
        <v>75</v>
      </c>
      <c r="D130" s="2" t="s">
        <v>94</v>
      </c>
      <c r="E130" s="6">
        <f t="shared" si="12"/>
        <v>10.214865770985146</v>
      </c>
      <c r="F130" s="6">
        <f t="shared" si="12"/>
        <v>44.04575148956898</v>
      </c>
      <c r="G130" s="6"/>
      <c r="H130" s="6"/>
    </row>
    <row r="131" spans="1:8" ht="12" customHeight="1">
      <c r="A131" s="97"/>
      <c r="B131" s="4" t="s">
        <v>78</v>
      </c>
      <c r="C131" s="5" t="s">
        <v>75</v>
      </c>
      <c r="D131" s="2" t="s">
        <v>94</v>
      </c>
      <c r="E131" s="6">
        <f t="shared" si="12"/>
        <v>7.150406039689603</v>
      </c>
      <c r="F131" s="6">
        <f t="shared" si="12"/>
        <v>30.832026042698285</v>
      </c>
      <c r="G131" s="6"/>
      <c r="H131" s="6"/>
    </row>
    <row r="132" spans="1:8" ht="12" customHeight="1">
      <c r="A132" s="97"/>
      <c r="B132" s="4" t="s">
        <v>79</v>
      </c>
      <c r="C132" s="5" t="s">
        <v>75</v>
      </c>
      <c r="D132" s="2" t="s">
        <v>94</v>
      </c>
      <c r="E132" s="6">
        <f t="shared" si="12"/>
        <v>4.766937359793068</v>
      </c>
      <c r="F132" s="6">
        <f t="shared" si="12"/>
        <v>20.55468402846552</v>
      </c>
      <c r="G132" s="6"/>
      <c r="H132" s="6"/>
    </row>
    <row r="133" spans="1:8" ht="12" customHeight="1">
      <c r="A133" s="97"/>
      <c r="B133" s="4" t="s">
        <v>80</v>
      </c>
      <c r="C133" s="5" t="s">
        <v>75</v>
      </c>
      <c r="D133" s="2" t="s">
        <v>94</v>
      </c>
      <c r="E133" s="6">
        <f t="shared" si="12"/>
        <v>3.5752030198448015</v>
      </c>
      <c r="F133" s="6">
        <f t="shared" si="12"/>
        <v>15.416013021349142</v>
      </c>
      <c r="G133" s="6"/>
      <c r="H133" s="6"/>
    </row>
    <row r="134" spans="1:8" ht="12" customHeight="1">
      <c r="A134" s="97"/>
      <c r="B134" s="4" t="s">
        <v>82</v>
      </c>
      <c r="C134" s="5" t="s">
        <v>75</v>
      </c>
      <c r="D134" s="2" t="s">
        <v>94</v>
      </c>
      <c r="E134" s="6">
        <f t="shared" si="12"/>
        <v>2.383468679896534</v>
      </c>
      <c r="F134" s="6">
        <f t="shared" si="12"/>
        <v>10.27734201423276</v>
      </c>
      <c r="G134" s="6"/>
      <c r="H134" s="6"/>
    </row>
    <row r="135" spans="1:8" ht="12" customHeight="1">
      <c r="A135" s="97"/>
      <c r="B135" s="4" t="s">
        <v>83</v>
      </c>
      <c r="C135" s="5" t="s">
        <v>75</v>
      </c>
      <c r="D135" s="2" t="s">
        <v>94</v>
      </c>
      <c r="E135" s="6">
        <f t="shared" si="12"/>
        <v>1.7876015099224007</v>
      </c>
      <c r="F135" s="6">
        <f t="shared" si="12"/>
        <v>7.708006510674571</v>
      </c>
      <c r="G135" s="6"/>
      <c r="H135" s="6"/>
    </row>
    <row r="136" spans="1:8" ht="12" customHeight="1">
      <c r="A136" s="97"/>
      <c r="B136" s="4" t="s">
        <v>84</v>
      </c>
      <c r="C136" s="5" t="s">
        <v>75</v>
      </c>
      <c r="D136" s="2" t="s">
        <v>94</v>
      </c>
      <c r="E136" s="6">
        <f t="shared" si="12"/>
        <v>1.4300812079379204</v>
      </c>
      <c r="F136" s="6">
        <f t="shared" si="12"/>
        <v>6.166405208539656</v>
      </c>
      <c r="G136" s="6"/>
      <c r="H136" s="6"/>
    </row>
    <row r="137" spans="1:8" ht="12" customHeight="1">
      <c r="A137" s="97"/>
      <c r="B137" s="4" t="s">
        <v>85</v>
      </c>
      <c r="C137" s="5" t="s">
        <v>75</v>
      </c>
      <c r="D137" s="2" t="s">
        <v>94</v>
      </c>
      <c r="E137" s="6">
        <f t="shared" si="12"/>
        <v>1.0214865770985146</v>
      </c>
      <c r="F137" s="6">
        <f t="shared" si="12"/>
        <v>4.404575148956898</v>
      </c>
      <c r="G137" s="6"/>
      <c r="H137" s="6"/>
    </row>
    <row r="138" spans="1:8" ht="12" customHeight="1">
      <c r="A138" s="97"/>
      <c r="B138" s="4" t="s">
        <v>86</v>
      </c>
      <c r="C138" s="5" t="s">
        <v>75</v>
      </c>
      <c r="D138" s="2" t="s">
        <v>94</v>
      </c>
      <c r="E138" s="6">
        <f t="shared" si="12"/>
        <v>0.7150406039689602</v>
      </c>
      <c r="F138" s="6">
        <f t="shared" si="12"/>
        <v>3.083202604269828</v>
      </c>
      <c r="G138" s="6"/>
      <c r="H138" s="6"/>
    </row>
    <row r="139" spans="1:8" ht="12" customHeight="1">
      <c r="A139" s="97"/>
      <c r="B139" s="4" t="s">
        <v>87</v>
      </c>
      <c r="C139" s="5" t="s">
        <v>75</v>
      </c>
      <c r="D139" s="2" t="s">
        <v>94</v>
      </c>
      <c r="E139" s="6">
        <f t="shared" si="12"/>
        <v>0.47669373597930675</v>
      </c>
      <c r="F139" s="6">
        <f t="shared" si="12"/>
        <v>2.055468402846552</v>
      </c>
      <c r="G139" s="6"/>
      <c r="H139" s="6"/>
    </row>
    <row r="140" spans="1:8" ht="12" customHeight="1">
      <c r="A140" s="98"/>
      <c r="B140" s="4" t="s">
        <v>88</v>
      </c>
      <c r="C140" s="5" t="s">
        <v>75</v>
      </c>
      <c r="D140" s="2" t="s">
        <v>94</v>
      </c>
      <c r="E140" s="6">
        <f t="shared" si="12"/>
        <v>0.3575203019844801</v>
      </c>
      <c r="F140" s="6">
        <f t="shared" si="12"/>
        <v>1.541601302134914</v>
      </c>
      <c r="G140" s="6"/>
      <c r="H140" s="6"/>
    </row>
    <row r="141" spans="1:8" ht="12" customHeight="1">
      <c r="A141" s="96" t="s">
        <v>96</v>
      </c>
      <c r="B141" s="4">
        <v>20</v>
      </c>
      <c r="C141" s="5" t="s">
        <v>75</v>
      </c>
      <c r="D141" s="52" t="s">
        <v>97</v>
      </c>
      <c r="E141" s="6">
        <f aca="true" t="shared" si="13" ref="E141:E162">(F141*(1+F163*E119)-F141*F163*E119)/((1+F163*E119)^2+F141^2*E119^2)</f>
        <v>5.130459131932751E-05</v>
      </c>
      <c r="F141" s="7">
        <f aca="true" t="shared" si="14" ref="F141:F162">F$28/(F$28^2+F97^2)+G$28/(G$28^2+F119^2)</f>
        <v>0.15243902439024393</v>
      </c>
      <c r="G141" s="6"/>
      <c r="H141" s="6">
        <f aca="true" t="shared" si="15" ref="H141:H162">E$28/(E$28^2+E97^2)+E141</f>
        <v>0.15243902439024393</v>
      </c>
    </row>
    <row r="142" spans="1:8" ht="12" customHeight="1">
      <c r="A142" s="97"/>
      <c r="B142" s="4">
        <v>30</v>
      </c>
      <c r="C142" s="5" t="s">
        <v>75</v>
      </c>
      <c r="D142" s="52" t="s">
        <v>97</v>
      </c>
      <c r="E142" s="6">
        <f t="shared" si="13"/>
        <v>0.00011538678751827326</v>
      </c>
      <c r="F142" s="7">
        <f t="shared" si="14"/>
        <v>0.15243902439024393</v>
      </c>
      <c r="G142" s="6"/>
      <c r="H142" s="6">
        <f t="shared" si="15"/>
        <v>0.15243902439024393</v>
      </c>
    </row>
    <row r="143" spans="1:8" ht="12" customHeight="1">
      <c r="A143" s="97"/>
      <c r="B143" s="4">
        <v>40</v>
      </c>
      <c r="C143" s="5" t="s">
        <v>75</v>
      </c>
      <c r="D143" s="52" t="s">
        <v>97</v>
      </c>
      <c r="E143" s="6">
        <f t="shared" si="13"/>
        <v>0.00020501137055353505</v>
      </c>
      <c r="F143" s="7">
        <f t="shared" si="14"/>
        <v>0.1524390243902439</v>
      </c>
      <c r="G143" s="6"/>
      <c r="H143" s="6">
        <f t="shared" si="15"/>
        <v>0.15243902439024393</v>
      </c>
    </row>
    <row r="144" spans="1:8" ht="12" customHeight="1">
      <c r="A144" s="97"/>
      <c r="B144" s="4">
        <v>50</v>
      </c>
      <c r="C144" s="5" t="s">
        <v>75</v>
      </c>
      <c r="D144" s="52" t="s">
        <v>97</v>
      </c>
      <c r="E144" s="6">
        <f t="shared" si="13"/>
        <v>0.00032008812239966224</v>
      </c>
      <c r="F144" s="7">
        <f t="shared" si="14"/>
        <v>0.15243902439024393</v>
      </c>
      <c r="G144" s="6"/>
      <c r="H144" s="6">
        <f t="shared" si="15"/>
        <v>0.15243902439024393</v>
      </c>
    </row>
    <row r="145" spans="1:8" ht="12" customHeight="1">
      <c r="A145" s="97"/>
      <c r="B145" s="4">
        <v>70</v>
      </c>
      <c r="C145" s="5" t="s">
        <v>75</v>
      </c>
      <c r="D145" s="52" t="s">
        <v>97</v>
      </c>
      <c r="E145" s="6">
        <f t="shared" si="13"/>
        <v>0.0006261106142917663</v>
      </c>
      <c r="F145" s="7">
        <f t="shared" si="14"/>
        <v>0.15243902439024393</v>
      </c>
      <c r="G145" s="6"/>
      <c r="H145" s="6">
        <f t="shared" si="15"/>
        <v>0.15243902439024393</v>
      </c>
    </row>
    <row r="146" spans="1:8" ht="12" customHeight="1">
      <c r="A146" s="97"/>
      <c r="B146" s="4">
        <v>100</v>
      </c>
      <c r="C146" s="5" t="s">
        <v>75</v>
      </c>
      <c r="D146" s="52" t="s">
        <v>97</v>
      </c>
      <c r="E146" s="6">
        <f t="shared" si="13"/>
        <v>0.0012723376097176857</v>
      </c>
      <c r="F146" s="7">
        <f t="shared" si="14"/>
        <v>0.15243902439024393</v>
      </c>
      <c r="G146" s="6"/>
      <c r="H146" s="6">
        <f t="shared" si="15"/>
        <v>0.15243902439024393</v>
      </c>
    </row>
    <row r="147" spans="1:8" ht="12" customHeight="1">
      <c r="A147" s="97"/>
      <c r="B147" s="4">
        <v>150</v>
      </c>
      <c r="C147" s="5" t="s">
        <v>75</v>
      </c>
      <c r="D147" s="52" t="s">
        <v>97</v>
      </c>
      <c r="E147" s="6">
        <f t="shared" si="13"/>
        <v>0.002833200365343119</v>
      </c>
      <c r="F147" s="7">
        <f t="shared" si="14"/>
        <v>0.15243902439024393</v>
      </c>
      <c r="G147" s="6"/>
      <c r="H147" s="6">
        <f t="shared" si="15"/>
        <v>0.15243902439024393</v>
      </c>
    </row>
    <row r="148" spans="1:8" ht="12" customHeight="1">
      <c r="A148" s="97"/>
      <c r="B148" s="4">
        <v>200</v>
      </c>
      <c r="C148" s="5" t="s">
        <v>75</v>
      </c>
      <c r="D148" s="52" t="s">
        <v>97</v>
      </c>
      <c r="E148" s="6">
        <f t="shared" si="13"/>
        <v>0.004965028100592386</v>
      </c>
      <c r="F148" s="7">
        <f t="shared" si="14"/>
        <v>0.15243902439024393</v>
      </c>
      <c r="G148" s="6"/>
      <c r="H148" s="6">
        <f t="shared" si="15"/>
        <v>0.1524390243902439</v>
      </c>
    </row>
    <row r="149" spans="1:8" ht="12" customHeight="1">
      <c r="A149" s="97"/>
      <c r="B149" s="4">
        <v>300</v>
      </c>
      <c r="C149" s="5" t="s">
        <v>75</v>
      </c>
      <c r="D149" s="52" t="s">
        <v>97</v>
      </c>
      <c r="E149" s="6">
        <f t="shared" si="13"/>
        <v>0.010734285776084856</v>
      </c>
      <c r="F149" s="7">
        <f t="shared" si="14"/>
        <v>0.15243902439024393</v>
      </c>
      <c r="G149" s="6"/>
      <c r="H149" s="6">
        <f t="shared" si="15"/>
        <v>0.1524390243902439</v>
      </c>
    </row>
    <row r="150" spans="1:8" ht="12" customHeight="1">
      <c r="A150" s="97"/>
      <c r="B150" s="4">
        <v>400</v>
      </c>
      <c r="C150" s="5" t="s">
        <v>75</v>
      </c>
      <c r="D150" s="52" t="s">
        <v>97</v>
      </c>
      <c r="E150" s="6">
        <f t="shared" si="13"/>
        <v>0.018092283650728014</v>
      </c>
      <c r="F150" s="7">
        <f t="shared" si="14"/>
        <v>0.1524390243902439</v>
      </c>
      <c r="G150" s="6"/>
      <c r="H150" s="6">
        <f t="shared" si="15"/>
        <v>0.1524390243902439</v>
      </c>
    </row>
    <row r="151" spans="1:8" ht="12" customHeight="1">
      <c r="A151" s="97"/>
      <c r="B151" s="4">
        <v>500</v>
      </c>
      <c r="C151" s="5" t="s">
        <v>75</v>
      </c>
      <c r="D151" s="52" t="s">
        <v>97</v>
      </c>
      <c r="E151" s="6">
        <f t="shared" si="13"/>
        <v>0.02650003679127141</v>
      </c>
      <c r="F151" s="7">
        <f t="shared" si="14"/>
        <v>0.1524390243902439</v>
      </c>
      <c r="G151" s="6"/>
      <c r="H151" s="6">
        <f t="shared" si="15"/>
        <v>0.15243902439024393</v>
      </c>
    </row>
    <row r="152" spans="1:8" ht="12" customHeight="1">
      <c r="A152" s="97"/>
      <c r="B152" s="4">
        <v>700</v>
      </c>
      <c r="C152" s="5" t="s">
        <v>75</v>
      </c>
      <c r="D152" s="52" t="s">
        <v>97</v>
      </c>
      <c r="E152" s="6">
        <f t="shared" si="13"/>
        <v>0.044511669514431355</v>
      </c>
      <c r="F152" s="7">
        <f t="shared" si="14"/>
        <v>0.1524390243902439</v>
      </c>
      <c r="G152" s="6"/>
      <c r="H152" s="6">
        <f t="shared" si="15"/>
        <v>0.15243902439024393</v>
      </c>
    </row>
    <row r="153" spans="1:8" ht="12" customHeight="1">
      <c r="A153" s="97"/>
      <c r="B153" s="4" t="s">
        <v>78</v>
      </c>
      <c r="C153" s="5" t="s">
        <v>75</v>
      </c>
      <c r="D153" s="52" t="s">
        <v>97</v>
      </c>
      <c r="E153" s="6">
        <f t="shared" si="13"/>
        <v>0.06966723849989934</v>
      </c>
      <c r="F153" s="7">
        <f t="shared" si="14"/>
        <v>0.15243902439024393</v>
      </c>
      <c r="G153" s="6"/>
      <c r="H153" s="6">
        <f t="shared" si="15"/>
        <v>0.15243902439024387</v>
      </c>
    </row>
    <row r="154" spans="1:8" ht="12" customHeight="1">
      <c r="A154" s="97"/>
      <c r="B154" s="4" t="s">
        <v>79</v>
      </c>
      <c r="C154" s="5" t="s">
        <v>75</v>
      </c>
      <c r="D154" s="52" t="s">
        <v>97</v>
      </c>
      <c r="E154" s="6">
        <f t="shared" si="13"/>
        <v>0.09976079946739902</v>
      </c>
      <c r="F154" s="7">
        <f t="shared" si="14"/>
        <v>0.1524390243902439</v>
      </c>
      <c r="G154" s="6"/>
      <c r="H154" s="6">
        <f t="shared" si="15"/>
        <v>0.1524390243902439</v>
      </c>
    </row>
    <row r="155" spans="1:8" ht="12" customHeight="1">
      <c r="A155" s="97"/>
      <c r="B155" s="4" t="s">
        <v>80</v>
      </c>
      <c r="C155" s="5" t="s">
        <v>75</v>
      </c>
      <c r="D155" s="52" t="s">
        <v>97</v>
      </c>
      <c r="E155" s="6">
        <f t="shared" si="13"/>
        <v>0.11752970483759932</v>
      </c>
      <c r="F155" s="7">
        <f t="shared" si="14"/>
        <v>0.15243902439024393</v>
      </c>
      <c r="G155" s="6"/>
      <c r="H155" s="6">
        <f t="shared" si="15"/>
        <v>0.15243902439024393</v>
      </c>
    </row>
    <row r="156" spans="1:8" ht="12" customHeight="1">
      <c r="A156" s="97"/>
      <c r="B156" s="4" t="s">
        <v>82</v>
      </c>
      <c r="C156" s="5" t="s">
        <v>75</v>
      </c>
      <c r="D156" s="52" t="s">
        <v>97</v>
      </c>
      <c r="E156" s="6">
        <f t="shared" si="13"/>
        <v>0.13466210080710433</v>
      </c>
      <c r="F156" s="7">
        <f t="shared" si="14"/>
        <v>0.15243902439024393</v>
      </c>
      <c r="G156" s="6"/>
      <c r="H156" s="6">
        <f t="shared" si="15"/>
        <v>0.1524390243902439</v>
      </c>
    </row>
    <row r="157" spans="1:8" ht="12" customHeight="1">
      <c r="A157" s="97"/>
      <c r="B157" s="4" t="s">
        <v>83</v>
      </c>
      <c r="C157" s="5" t="s">
        <v>75</v>
      </c>
      <c r="D157" s="52" t="s">
        <v>97</v>
      </c>
      <c r="E157" s="6">
        <f t="shared" si="13"/>
        <v>0.14190190337696496</v>
      </c>
      <c r="F157" s="7">
        <f t="shared" si="14"/>
        <v>0.15243902439024393</v>
      </c>
      <c r="G157" s="6"/>
      <c r="H157" s="6">
        <f t="shared" si="15"/>
        <v>0.15243902439024393</v>
      </c>
    </row>
    <row r="158" spans="1:8" ht="12" customHeight="1">
      <c r="A158" s="97"/>
      <c r="B158" s="4" t="s">
        <v>84</v>
      </c>
      <c r="C158" s="5" t="s">
        <v>75</v>
      </c>
      <c r="D158" s="52" t="s">
        <v>97</v>
      </c>
      <c r="E158" s="6">
        <f t="shared" si="13"/>
        <v>0.14552316959525852</v>
      </c>
      <c r="F158" s="7">
        <f t="shared" si="14"/>
        <v>0.15243902439024393</v>
      </c>
      <c r="G158" s="6"/>
      <c r="H158" s="6">
        <f t="shared" si="15"/>
        <v>0.15243902439024393</v>
      </c>
    </row>
    <row r="159" spans="1:8" ht="12" customHeight="1">
      <c r="A159" s="97"/>
      <c r="B159" s="4" t="s">
        <v>85</v>
      </c>
      <c r="C159" s="5" t="s">
        <v>75</v>
      </c>
      <c r="D159" s="52" t="s">
        <v>97</v>
      </c>
      <c r="E159" s="6">
        <f t="shared" si="13"/>
        <v>0.14883033819582028</v>
      </c>
      <c r="F159" s="7">
        <f t="shared" si="14"/>
        <v>0.1524390243902439</v>
      </c>
      <c r="G159" s="6"/>
      <c r="H159" s="6">
        <f t="shared" si="15"/>
        <v>0.1524390243902439</v>
      </c>
    </row>
    <row r="160" spans="1:8" ht="12" customHeight="1">
      <c r="A160" s="97"/>
      <c r="B160" s="4" t="s">
        <v>86</v>
      </c>
      <c r="C160" s="5" t="s">
        <v>75</v>
      </c>
      <c r="D160" s="52" t="s">
        <v>97</v>
      </c>
      <c r="E160" s="6">
        <f t="shared" si="13"/>
        <v>0.15064915871191917</v>
      </c>
      <c r="F160" s="7">
        <f t="shared" si="14"/>
        <v>0.15243902439024393</v>
      </c>
      <c r="G160" s="6"/>
      <c r="H160" s="6">
        <f t="shared" si="15"/>
        <v>0.15243902439024393</v>
      </c>
    </row>
    <row r="161" spans="1:8" ht="12" customHeight="1">
      <c r="A161" s="97"/>
      <c r="B161" s="4" t="s">
        <v>87</v>
      </c>
      <c r="C161" s="5" t="s">
        <v>75</v>
      </c>
      <c r="D161" s="52" t="s">
        <v>97</v>
      </c>
      <c r="E161" s="6">
        <f t="shared" si="13"/>
        <v>0.15163830539030448</v>
      </c>
      <c r="F161" s="7">
        <f t="shared" si="14"/>
        <v>0.15243902439024393</v>
      </c>
      <c r="G161" s="6"/>
      <c r="H161" s="6">
        <f t="shared" si="15"/>
        <v>0.15243902439024393</v>
      </c>
    </row>
    <row r="162" spans="1:8" ht="12" customHeight="1">
      <c r="A162" s="98"/>
      <c r="B162" s="4" t="s">
        <v>88</v>
      </c>
      <c r="C162" s="5" t="s">
        <v>75</v>
      </c>
      <c r="D162" s="52" t="s">
        <v>97</v>
      </c>
      <c r="E162" s="6">
        <f t="shared" si="13"/>
        <v>0.1519875825106587</v>
      </c>
      <c r="F162" s="7">
        <f t="shared" si="14"/>
        <v>0.15243902439024393</v>
      </c>
      <c r="G162" s="6"/>
      <c r="H162" s="6">
        <f t="shared" si="15"/>
        <v>0.15243902439024393</v>
      </c>
    </row>
    <row r="163" spans="1:8" ht="12" customHeight="1">
      <c r="A163" s="96" t="s">
        <v>98</v>
      </c>
      <c r="B163" s="4">
        <v>20</v>
      </c>
      <c r="C163" s="5" t="s">
        <v>75</v>
      </c>
      <c r="D163" s="52" t="s">
        <v>97</v>
      </c>
      <c r="E163" s="3">
        <f aca="true" t="shared" si="16" ref="E163:E184">(F141^2*E119+F163*(1+F163*E119))/((1+F163*E119)^2+F141^2*E119^2)</f>
        <v>0.002796102588670169</v>
      </c>
      <c r="F163" s="7">
        <f aca="true" t="shared" si="17" ref="F163:F184">(-1)*F97/(F$28^2+F97^2)+F119/(G$28^2+F119^2)</f>
        <v>0</v>
      </c>
      <c r="G163" s="3"/>
      <c r="H163" s="3">
        <f aca="true" t="shared" si="18" ref="H163:H184">(-1)*E97/(E$28^2+E97^2)+E163</f>
        <v>0</v>
      </c>
    </row>
    <row r="164" spans="1:8" ht="12" customHeight="1">
      <c r="A164" s="97"/>
      <c r="B164" s="4">
        <v>30</v>
      </c>
      <c r="C164" s="5" t="s">
        <v>75</v>
      </c>
      <c r="D164" s="52" t="s">
        <v>97</v>
      </c>
      <c r="E164" s="3">
        <f t="shared" si="16"/>
        <v>0.0041923901543244</v>
      </c>
      <c r="F164" s="7">
        <f t="shared" si="17"/>
        <v>0</v>
      </c>
      <c r="G164" s="3"/>
      <c r="H164" s="3">
        <f t="shared" si="18"/>
        <v>0</v>
      </c>
    </row>
    <row r="165" spans="1:8" ht="12" customHeight="1">
      <c r="A165" s="97"/>
      <c r="B165" s="4">
        <v>40</v>
      </c>
      <c r="C165" s="5" t="s">
        <v>75</v>
      </c>
      <c r="D165" s="52" t="s">
        <v>97</v>
      </c>
      <c r="E165" s="3">
        <f t="shared" si="16"/>
        <v>0.005586564566353049</v>
      </c>
      <c r="F165" s="7">
        <f t="shared" si="17"/>
        <v>0</v>
      </c>
      <c r="G165" s="3"/>
      <c r="H165" s="3">
        <f t="shared" si="18"/>
        <v>0</v>
      </c>
    </row>
    <row r="166" spans="1:8" ht="12" customHeight="1">
      <c r="A166" s="97"/>
      <c r="B166" s="4">
        <v>50</v>
      </c>
      <c r="C166" s="5" t="s">
        <v>75</v>
      </c>
      <c r="D166" s="52" t="s">
        <v>97</v>
      </c>
      <c r="E166" s="3">
        <f t="shared" si="16"/>
        <v>0.006977926962315394</v>
      </c>
      <c r="F166" s="7">
        <f t="shared" si="17"/>
        <v>0</v>
      </c>
      <c r="G166" s="3"/>
      <c r="H166" s="3">
        <f t="shared" si="18"/>
        <v>0</v>
      </c>
    </row>
    <row r="167" spans="1:8" ht="12" customHeight="1">
      <c r="A167" s="97"/>
      <c r="B167" s="4">
        <v>70</v>
      </c>
      <c r="C167" s="5" t="s">
        <v>75</v>
      </c>
      <c r="D167" s="52" t="s">
        <v>97</v>
      </c>
      <c r="E167" s="3">
        <f t="shared" si="16"/>
        <v>0.009749444943261352</v>
      </c>
      <c r="F167" s="7">
        <f t="shared" si="17"/>
        <v>0</v>
      </c>
      <c r="G167" s="3"/>
      <c r="H167" s="3">
        <f t="shared" si="18"/>
        <v>0</v>
      </c>
    </row>
    <row r="168" spans="1:8" ht="12" customHeight="1">
      <c r="A168" s="97"/>
      <c r="B168" s="4">
        <v>100</v>
      </c>
      <c r="C168" s="5" t="s">
        <v>75</v>
      </c>
      <c r="D168" s="52" t="s">
        <v>97</v>
      </c>
      <c r="E168" s="3">
        <f t="shared" si="16"/>
        <v>0.013868491660136541</v>
      </c>
      <c r="F168" s="7">
        <f t="shared" si="17"/>
        <v>0</v>
      </c>
      <c r="G168" s="3"/>
      <c r="H168" s="3">
        <f t="shared" si="18"/>
        <v>0</v>
      </c>
    </row>
    <row r="169" spans="1:8" ht="12" customHeight="1">
      <c r="A169" s="97"/>
      <c r="B169" s="4">
        <v>150</v>
      </c>
      <c r="C169" s="5" t="s">
        <v>75</v>
      </c>
      <c r="D169" s="52" t="s">
        <v>97</v>
      </c>
      <c r="E169" s="3">
        <f t="shared" si="16"/>
        <v>0.020587940044715678</v>
      </c>
      <c r="F169" s="7">
        <f t="shared" si="17"/>
        <v>0</v>
      </c>
      <c r="G169" s="3"/>
      <c r="H169" s="3">
        <f t="shared" si="18"/>
        <v>0</v>
      </c>
    </row>
    <row r="170" spans="1:8" ht="12" customHeight="1">
      <c r="A170" s="97"/>
      <c r="B170" s="4">
        <v>200</v>
      </c>
      <c r="C170" s="5" t="s">
        <v>75</v>
      </c>
      <c r="D170" s="52" t="s">
        <v>97</v>
      </c>
      <c r="E170" s="3">
        <f t="shared" si="16"/>
        <v>0.027059426004347856</v>
      </c>
      <c r="F170" s="7">
        <f t="shared" si="17"/>
        <v>0</v>
      </c>
      <c r="G170" s="3"/>
      <c r="H170" s="3">
        <f t="shared" si="18"/>
        <v>0</v>
      </c>
    </row>
    <row r="171" spans="1:8" ht="12" customHeight="1">
      <c r="A171" s="97"/>
      <c r="B171" s="4">
        <v>300</v>
      </c>
      <c r="C171" s="5" t="s">
        <v>75</v>
      </c>
      <c r="D171" s="52" t="s">
        <v>97</v>
      </c>
      <c r="E171" s="3">
        <f t="shared" si="16"/>
        <v>0.0390012712627395</v>
      </c>
      <c r="F171" s="7">
        <f t="shared" si="17"/>
        <v>0</v>
      </c>
      <c r="G171" s="3"/>
      <c r="H171" s="3">
        <f t="shared" si="18"/>
        <v>0</v>
      </c>
    </row>
    <row r="172" spans="1:8" ht="12" customHeight="1">
      <c r="A172" s="97"/>
      <c r="B172" s="4">
        <v>400</v>
      </c>
      <c r="C172" s="5" t="s">
        <v>75</v>
      </c>
      <c r="D172" s="52" t="s">
        <v>97</v>
      </c>
      <c r="E172" s="3">
        <f t="shared" si="16"/>
        <v>0.04930151459144169</v>
      </c>
      <c r="F172" s="7">
        <f t="shared" si="17"/>
        <v>0</v>
      </c>
      <c r="G172" s="3"/>
      <c r="H172" s="3">
        <f t="shared" si="18"/>
        <v>0</v>
      </c>
    </row>
    <row r="173" spans="1:8" ht="12" customHeight="1">
      <c r="A173" s="97"/>
      <c r="B173" s="4">
        <v>500</v>
      </c>
      <c r="C173" s="5" t="s">
        <v>75</v>
      </c>
      <c r="D173" s="52" t="s">
        <v>97</v>
      </c>
      <c r="E173" s="3">
        <f t="shared" si="16"/>
        <v>0.057770129001312134</v>
      </c>
      <c r="F173" s="7">
        <f t="shared" si="17"/>
        <v>0</v>
      </c>
      <c r="G173" s="3"/>
      <c r="H173" s="3">
        <f t="shared" si="18"/>
        <v>0</v>
      </c>
    </row>
    <row r="174" spans="1:8" ht="12" customHeight="1">
      <c r="A174" s="97"/>
      <c r="B174" s="4">
        <v>700</v>
      </c>
      <c r="C174" s="5" t="s">
        <v>75</v>
      </c>
      <c r="D174" s="52" t="s">
        <v>97</v>
      </c>
      <c r="E174" s="3">
        <f t="shared" si="16"/>
        <v>0.06931108678847071</v>
      </c>
      <c r="F174" s="7">
        <f t="shared" si="17"/>
        <v>0</v>
      </c>
      <c r="G174" s="3"/>
      <c r="H174" s="3">
        <f t="shared" si="18"/>
        <v>0</v>
      </c>
    </row>
    <row r="175" spans="1:8" ht="12" customHeight="1">
      <c r="A175" s="97"/>
      <c r="B175" s="4" t="s">
        <v>78</v>
      </c>
      <c r="C175" s="5" t="s">
        <v>75</v>
      </c>
      <c r="D175" s="52" t="s">
        <v>97</v>
      </c>
      <c r="E175" s="3">
        <f t="shared" si="16"/>
        <v>0.07593735410642934</v>
      </c>
      <c r="F175" s="7">
        <f t="shared" si="17"/>
        <v>0</v>
      </c>
      <c r="G175" s="3"/>
      <c r="H175" s="3">
        <f t="shared" si="18"/>
        <v>0</v>
      </c>
    </row>
    <row r="176" spans="1:8" ht="12" customHeight="1">
      <c r="A176" s="97"/>
      <c r="B176" s="4" t="s">
        <v>79</v>
      </c>
      <c r="C176" s="5" t="s">
        <v>75</v>
      </c>
      <c r="D176" s="52" t="s">
        <v>97</v>
      </c>
      <c r="E176" s="3">
        <f t="shared" si="16"/>
        <v>0.0724929088451172</v>
      </c>
      <c r="F176" s="7">
        <f t="shared" si="17"/>
        <v>0</v>
      </c>
      <c r="G176" s="3"/>
      <c r="H176" s="3">
        <f t="shared" si="18"/>
        <v>0</v>
      </c>
    </row>
    <row r="177" spans="1:8" ht="12" customHeight="1">
      <c r="A177" s="97"/>
      <c r="B177" s="4" t="s">
        <v>80</v>
      </c>
      <c r="C177" s="5" t="s">
        <v>75</v>
      </c>
      <c r="D177" s="52" t="s">
        <v>97</v>
      </c>
      <c r="E177" s="3">
        <f t="shared" si="16"/>
        <v>0.064053743240374</v>
      </c>
      <c r="F177" s="7">
        <f t="shared" si="17"/>
        <v>0</v>
      </c>
      <c r="G177" s="3"/>
      <c r="H177" s="3">
        <f t="shared" si="18"/>
        <v>0</v>
      </c>
    </row>
    <row r="178" spans="1:8" ht="12" customHeight="1">
      <c r="A178" s="97"/>
      <c r="B178" s="4" t="s">
        <v>82</v>
      </c>
      <c r="C178" s="5" t="s">
        <v>75</v>
      </c>
      <c r="D178" s="52" t="s">
        <v>97</v>
      </c>
      <c r="E178" s="3">
        <f t="shared" si="16"/>
        <v>0.04892727128701266</v>
      </c>
      <c r="F178" s="7">
        <f t="shared" si="17"/>
        <v>0</v>
      </c>
      <c r="G178" s="3"/>
      <c r="H178" s="3">
        <f t="shared" si="18"/>
        <v>0</v>
      </c>
    </row>
    <row r="179" spans="1:8" ht="12" customHeight="1">
      <c r="A179" s="97"/>
      <c r="B179" s="4" t="s">
        <v>83</v>
      </c>
      <c r="C179" s="5" t="s">
        <v>75</v>
      </c>
      <c r="D179" s="52" t="s">
        <v>97</v>
      </c>
      <c r="E179" s="3">
        <f t="shared" si="16"/>
        <v>0.038668301331939825</v>
      </c>
      <c r="F179" s="7">
        <f t="shared" si="17"/>
        <v>0</v>
      </c>
      <c r="G179" s="3"/>
      <c r="H179" s="3">
        <f t="shared" si="18"/>
        <v>0</v>
      </c>
    </row>
    <row r="180" spans="1:8" ht="12" customHeight="1">
      <c r="A180" s="97"/>
      <c r="B180" s="4" t="s">
        <v>84</v>
      </c>
      <c r="C180" s="5" t="s">
        <v>75</v>
      </c>
      <c r="D180" s="52" t="s">
        <v>97</v>
      </c>
      <c r="E180" s="3">
        <f t="shared" si="16"/>
        <v>0.0317240777679485</v>
      </c>
      <c r="F180" s="7">
        <f t="shared" si="17"/>
        <v>0</v>
      </c>
      <c r="G180" s="3"/>
      <c r="H180" s="3">
        <f t="shared" si="18"/>
        <v>0</v>
      </c>
    </row>
    <row r="181" spans="1:8" ht="12" customHeight="1">
      <c r="A181" s="97"/>
      <c r="B181" s="4" t="s">
        <v>85</v>
      </c>
      <c r="C181" s="5" t="s">
        <v>75</v>
      </c>
      <c r="D181" s="52" t="s">
        <v>97</v>
      </c>
      <c r="E181" s="3">
        <f t="shared" si="16"/>
        <v>0.023175029379887625</v>
      </c>
      <c r="F181" s="7">
        <f t="shared" si="17"/>
        <v>0</v>
      </c>
      <c r="G181" s="3"/>
      <c r="H181" s="3">
        <f t="shared" si="18"/>
        <v>0</v>
      </c>
    </row>
    <row r="182" spans="1:8" ht="12" customHeight="1">
      <c r="A182" s="97"/>
      <c r="B182" s="4" t="s">
        <v>86</v>
      </c>
      <c r="C182" s="5" t="s">
        <v>75</v>
      </c>
      <c r="D182" s="52" t="s">
        <v>97</v>
      </c>
      <c r="E182" s="3">
        <f t="shared" si="16"/>
        <v>0.016420772169632076</v>
      </c>
      <c r="F182" s="7">
        <f t="shared" si="17"/>
        <v>0</v>
      </c>
      <c r="G182" s="3"/>
      <c r="H182" s="3">
        <f t="shared" si="18"/>
        <v>0</v>
      </c>
    </row>
    <row r="183" spans="1:8" ht="12" customHeight="1">
      <c r="A183" s="97"/>
      <c r="B183" s="4" t="s">
        <v>87</v>
      </c>
      <c r="C183" s="5" t="s">
        <v>75</v>
      </c>
      <c r="D183" s="52" t="s">
        <v>97</v>
      </c>
      <c r="E183" s="3">
        <f t="shared" si="16"/>
        <v>0.011019059499096847</v>
      </c>
      <c r="F183" s="7">
        <f t="shared" si="17"/>
        <v>0</v>
      </c>
      <c r="G183" s="3"/>
      <c r="H183" s="3">
        <f t="shared" si="18"/>
        <v>0</v>
      </c>
    </row>
    <row r="184" spans="1:8" ht="12" customHeight="1">
      <c r="A184" s="98"/>
      <c r="B184" s="4" t="s">
        <v>88</v>
      </c>
      <c r="C184" s="5" t="s">
        <v>75</v>
      </c>
      <c r="D184" s="52" t="s">
        <v>97</v>
      </c>
      <c r="E184" s="3">
        <f t="shared" si="16"/>
        <v>0.008283330243460637</v>
      </c>
      <c r="F184" s="7">
        <f t="shared" si="17"/>
        <v>0</v>
      </c>
      <c r="G184" s="3"/>
      <c r="H184" s="3">
        <f t="shared" si="18"/>
        <v>0</v>
      </c>
    </row>
    <row r="185" spans="1:8" ht="12" customHeight="1">
      <c r="A185" s="96" t="s">
        <v>99</v>
      </c>
      <c r="B185" s="4">
        <v>20</v>
      </c>
      <c r="C185" s="5" t="s">
        <v>75</v>
      </c>
      <c r="D185" s="2" t="s">
        <v>90</v>
      </c>
      <c r="E185" s="7">
        <f>IF($H$17=1,SpeakerCorrection1!E56,0)</f>
        <v>-0.0011785479770708232</v>
      </c>
      <c r="F185" s="7">
        <f>IF($H$17=1,SpeakerCorrection1!F56,0)</f>
        <v>-4</v>
      </c>
      <c r="G185" s="7">
        <f>IF($H$17=1,SpeakerCorrection1!G56,0)</f>
        <v>-50.84763527354046</v>
      </c>
      <c r="H185" s="7">
        <f>IF($H$17=1,SpeakerCorrection1!H56,0)</f>
      </c>
    </row>
    <row r="186" spans="1:8" ht="12" customHeight="1">
      <c r="A186" s="97"/>
      <c r="B186" s="4">
        <v>30</v>
      </c>
      <c r="C186" s="5" t="s">
        <v>75</v>
      </c>
      <c r="D186" s="2" t="s">
        <v>90</v>
      </c>
      <c r="E186" s="7">
        <f>IF($H$17=1,SpeakerCorrection1!E57,0)</f>
        <v>-0.002651283339108628</v>
      </c>
      <c r="F186" s="7">
        <f>IF($H$17=1,SpeakerCorrection1!F57,0)</f>
        <v>-4</v>
      </c>
      <c r="G186" s="7">
        <f>IF($H$17=1,SpeakerCorrection1!G57,0)</f>
        <v>-47.32581386233359</v>
      </c>
      <c r="H186" s="7">
        <f>IF($H$17=1,SpeakerCorrection1!H57,0)</f>
      </c>
    </row>
    <row r="187" spans="1:8" ht="12" customHeight="1">
      <c r="A187" s="97"/>
      <c r="B187" s="4">
        <v>40</v>
      </c>
      <c r="C187" s="5" t="s">
        <v>75</v>
      </c>
      <c r="D187" s="2" t="s">
        <v>90</v>
      </c>
      <c r="E187" s="7">
        <f>IF($H$17=1,SpeakerCorrection1!E58,0)</f>
        <v>-0.004712274182155034</v>
      </c>
      <c r="F187" s="7">
        <f>IF($H$17=1,SpeakerCorrection1!F58,0)</f>
        <v>-4</v>
      </c>
      <c r="G187" s="7">
        <f>IF($H$17=1,SpeakerCorrection1!G58,0)</f>
        <v>-44.827044408031554</v>
      </c>
      <c r="H187" s="7">
        <f>IF($H$17=1,SpeakerCorrection1!H58,0)</f>
      </c>
    </row>
    <row r="188" spans="1:8" ht="12" customHeight="1">
      <c r="A188" s="97"/>
      <c r="B188" s="4">
        <v>50</v>
      </c>
      <c r="C188" s="5" t="s">
        <v>75</v>
      </c>
      <c r="D188" s="2" t="s">
        <v>90</v>
      </c>
      <c r="E188" s="7">
        <f>IF($H$17=1,SpeakerCorrection1!E59,0)</f>
        <v>-0.007360683206158585</v>
      </c>
      <c r="F188" s="7">
        <f>IF($H$17=1,SpeakerCorrection1!F59,0)</f>
        <v>-4</v>
      </c>
      <c r="G188" s="7">
        <f>IF($H$17=1,SpeakerCorrection1!G59,0)</f>
        <v>-42.888850933686086</v>
      </c>
      <c r="H188" s="7">
        <f>IF($H$17=1,SpeakerCorrection1!H59,0)</f>
      </c>
    </row>
    <row r="189" spans="1:8" ht="12" customHeight="1">
      <c r="A189" s="97"/>
      <c r="B189" s="4">
        <v>70</v>
      </c>
      <c r="C189" s="5" t="s">
        <v>75</v>
      </c>
      <c r="D189" s="2" t="s">
        <v>90</v>
      </c>
      <c r="E189" s="7">
        <f>IF($H$17=1,SpeakerCorrection1!E60,0)</f>
        <v>-0.014415221623610334</v>
      </c>
      <c r="F189" s="7">
        <f>IF($H$17=1,SpeakerCorrection1!F60,0)</f>
        <v>-4</v>
      </c>
      <c r="G189" s="7">
        <f>IF($H$17=1,SpeakerCorrection1!G60,0)</f>
        <v>-39.96630831557793</v>
      </c>
      <c r="H189" s="7">
        <f>IF($H$17=1,SpeakerCorrection1!H60,0)</f>
      </c>
    </row>
    <row r="190" spans="1:8" ht="12" customHeight="1">
      <c r="A190" s="97"/>
      <c r="B190" s="4">
        <v>100</v>
      </c>
      <c r="C190" s="5" t="s">
        <v>75</v>
      </c>
      <c r="D190" s="2" t="s">
        <v>90</v>
      </c>
      <c r="E190" s="7">
        <f>IF($H$17=1,SpeakerCorrection1!E61,0)</f>
        <v>-0.029368175575114126</v>
      </c>
      <c r="F190" s="7">
        <f>IF($H$17=1,SpeakerCorrection1!F61,0)</f>
        <v>-4</v>
      </c>
      <c r="G190" s="7">
        <f>IF($H$17=1,SpeakerCorrection1!G61,0)</f>
        <v>-36.86830756845802</v>
      </c>
      <c r="H190" s="7">
        <f>IF($H$17=1,SpeakerCorrection1!H61,0)</f>
      </c>
    </row>
    <row r="191" spans="1:8" ht="12" customHeight="1">
      <c r="A191" s="97"/>
      <c r="B191" s="4">
        <v>150</v>
      </c>
      <c r="C191" s="5" t="s">
        <v>75</v>
      </c>
      <c r="D191" s="2" t="s">
        <v>90</v>
      </c>
      <c r="E191" s="7">
        <f>IF($H$17=1,SpeakerCorrection1!E62,0)</f>
        <v>-0.06580130442000891</v>
      </c>
      <c r="F191" s="7">
        <f>IF($H$17=1,SpeakerCorrection1!F62,0)</f>
        <v>-4</v>
      </c>
      <c r="G191" s="7">
        <f>IF($H$17=1,SpeakerCorrection1!G62,0)</f>
        <v>-33.346576632460796</v>
      </c>
      <c r="H191" s="7">
        <f>IF($H$17=1,SpeakerCorrection1!H62,0)</f>
      </c>
    </row>
    <row r="192" spans="1:8" ht="12" customHeight="1">
      <c r="A192" s="97"/>
      <c r="B192" s="4">
        <v>200</v>
      </c>
      <c r="C192" s="5" t="s">
        <v>75</v>
      </c>
      <c r="D192" s="2" t="s">
        <v>90</v>
      </c>
      <c r="E192" s="7">
        <f>IF($H$17=1,SpeakerCorrection1!E63,0)</f>
        <v>-0.11629960474057253</v>
      </c>
      <c r="F192" s="7">
        <f>IF($H$17=1,SpeakerCorrection1!F63,0)</f>
        <v>-4</v>
      </c>
      <c r="G192" s="7">
        <f>IF($H$17=1,SpeakerCorrection1!G63,0)</f>
        <v>-30.847933840021952</v>
      </c>
      <c r="H192" s="7">
        <f>IF($H$17=1,SpeakerCorrection1!H63,0)</f>
      </c>
    </row>
    <row r="193" spans="1:8" ht="12" customHeight="1">
      <c r="A193" s="97"/>
      <c r="B193" s="4">
        <v>300</v>
      </c>
      <c r="C193" s="5" t="s">
        <v>75</v>
      </c>
      <c r="D193" s="2" t="s">
        <v>90</v>
      </c>
      <c r="E193" s="7">
        <f>IF($H$17=1,SpeakerCorrection1!E64,0)</f>
        <v>-0.25742682220211904</v>
      </c>
      <c r="F193" s="7">
        <f>IF($H$17=1,SpeakerCorrection1!F64,0)</f>
        <v>-4</v>
      </c>
      <c r="G193" s="7">
        <f>IF($H$17=1,SpeakerCorrection1!G64,0)</f>
        <v>-27.326485607471938</v>
      </c>
      <c r="H193" s="7">
        <f>IF($H$17=1,SpeakerCorrection1!H64,0)</f>
      </c>
    </row>
    <row r="194" spans="1:8" ht="12" customHeight="1">
      <c r="A194" s="97"/>
      <c r="B194" s="4">
        <v>400</v>
      </c>
      <c r="C194" s="5" t="s">
        <v>75</v>
      </c>
      <c r="D194" s="2" t="s">
        <v>90</v>
      </c>
      <c r="E194" s="7">
        <f>IF($H$17=1,SpeakerCorrection1!E65,0)</f>
        <v>-0.4476038312038132</v>
      </c>
      <c r="F194" s="7">
        <f>IF($H$17=1,SpeakerCorrection1!F65,0)</f>
        <v>-4</v>
      </c>
      <c r="G194" s="7">
        <f>IF($H$17=1,SpeakerCorrection1!G65,0)</f>
        <v>-24.828238548335662</v>
      </c>
      <c r="H194" s="7">
        <f>IF($H$17=1,SpeakerCorrection1!H65,0)</f>
      </c>
    </row>
    <row r="195" spans="1:8" ht="12" customHeight="1">
      <c r="A195" s="97"/>
      <c r="B195" s="4">
        <v>500</v>
      </c>
      <c r="C195" s="5" t="s">
        <v>75</v>
      </c>
      <c r="D195" s="2" t="s">
        <v>90</v>
      </c>
      <c r="E195" s="7">
        <f>IF($H$17=1,SpeakerCorrection1!E66,0)</f>
        <v>-0.6804838873262724</v>
      </c>
      <c r="F195" s="7">
        <f>IF($H$17=1,SpeakerCorrection1!F66,0)</f>
        <v>-4</v>
      </c>
      <c r="G195" s="7">
        <f>IF($H$17=1,SpeakerCorrection1!G66,0)</f>
        <v>-22.890716630733948</v>
      </c>
      <c r="H195" s="7">
        <f>IF($H$17=1,SpeakerCorrection1!H66,0)</f>
      </c>
    </row>
    <row r="196" spans="1:8" ht="12" customHeight="1">
      <c r="A196" s="97"/>
      <c r="B196" s="4">
        <v>700</v>
      </c>
      <c r="C196" s="5" t="s">
        <v>75</v>
      </c>
      <c r="D196" s="2" t="s">
        <v>90</v>
      </c>
      <c r="E196" s="7">
        <f>IF($H$17=1,SpeakerCorrection1!E67,0)</f>
        <v>-1.246588145501947</v>
      </c>
      <c r="F196" s="7">
        <f>IF($H$17=1,SpeakerCorrection1!F67,0)</f>
        <v>-4</v>
      </c>
      <c r="G196" s="7">
        <f>IF($H$17=1,SpeakerCorrection1!G67,0)</f>
        <v>-19.96996431283857</v>
      </c>
      <c r="H196" s="7">
        <f>IF($H$17=1,SpeakerCorrection1!H67,0)</f>
      </c>
    </row>
    <row r="197" spans="1:8" ht="12" customHeight="1">
      <c r="A197" s="97"/>
      <c r="B197" s="4" t="s">
        <v>78</v>
      </c>
      <c r="C197" s="5" t="s">
        <v>75</v>
      </c>
      <c r="D197" s="2" t="s">
        <v>90</v>
      </c>
      <c r="E197" s="7">
        <f>IF($H$17=1,SpeakerCorrection1!E68,0)</f>
        <v>-2.2492621290057</v>
      </c>
      <c r="F197" s="7">
        <f>IF($H$17=1,SpeakerCorrection1!F68,0)</f>
        <v>-4</v>
      </c>
      <c r="G197" s="7">
        <f>IF($H$17=1,SpeakerCorrection1!G68,0)</f>
        <v>-16.875765455502346</v>
      </c>
      <c r="H197" s="7">
        <f>IF($H$17=1,SpeakerCorrection1!H68,0)</f>
      </c>
    </row>
    <row r="198" spans="1:8" ht="12" customHeight="1">
      <c r="A198" s="97"/>
      <c r="B198" s="4" t="s">
        <v>79</v>
      </c>
      <c r="C198" s="5" t="s">
        <v>75</v>
      </c>
      <c r="D198" s="2" t="s">
        <v>90</v>
      </c>
      <c r="E198" s="7">
        <f>IF($H$17=1,SpeakerCorrection1!E69,0)</f>
        <v>-4.0254806431432275</v>
      </c>
      <c r="F198" s="7">
        <f>IF($H$17=1,SpeakerCorrection1!F69,0)</f>
        <v>-4</v>
      </c>
      <c r="G198" s="7">
        <f>IF($H$17=1,SpeakerCorrection1!G69,0)</f>
        <v>-13.363338541425861</v>
      </c>
      <c r="H198" s="7">
        <f>IF($H$17=1,SpeakerCorrection1!H69,0)</f>
      </c>
    </row>
    <row r="199" spans="1:8" ht="12" customHeight="1">
      <c r="A199" s="97"/>
      <c r="B199" s="4" t="s">
        <v>80</v>
      </c>
      <c r="C199" s="5" t="s">
        <v>75</v>
      </c>
      <c r="D199" s="2" t="s">
        <v>90</v>
      </c>
      <c r="E199" s="7">
        <f>IF($H$17=1,SpeakerCorrection1!E70,0)</f>
        <v>-5.6985069827703105</v>
      </c>
      <c r="F199" s="7">
        <f>IF($H$17=1,SpeakerCorrection1!F70,0)</f>
        <v>-4</v>
      </c>
      <c r="G199" s="7">
        <f>IF($H$17=1,SpeakerCorrection1!G70,0)</f>
        <v>-10.877687308412334</v>
      </c>
      <c r="H199" s="7">
        <f>IF($H$17=1,SpeakerCorrection1!H70,0)</f>
      </c>
    </row>
    <row r="200" spans="1:8" ht="12" customHeight="1">
      <c r="A200" s="97"/>
      <c r="B200" s="4" t="s">
        <v>82</v>
      </c>
      <c r="C200" s="5" t="s">
        <v>75</v>
      </c>
      <c r="D200" s="2" t="s">
        <v>90</v>
      </c>
      <c r="E200" s="7">
        <f>IF($H$17=1,SpeakerCorrection1!E71,0)</f>
        <v>-8.516661069081547</v>
      </c>
      <c r="F200" s="7">
        <f>IF($H$17=1,SpeakerCorrection1!F71,0)</f>
        <v>-4</v>
      </c>
      <c r="G200" s="7">
        <f>IF($H$17=1,SpeakerCorrection1!G71,0)</f>
        <v>-7.39314079021716</v>
      </c>
      <c r="H200" s="7">
        <f>IF($H$17=1,SpeakerCorrection1!H71,0)</f>
      </c>
    </row>
    <row r="201" spans="1:8" ht="12" customHeight="1">
      <c r="A201" s="97"/>
      <c r="B201" s="4" t="s">
        <v>83</v>
      </c>
      <c r="C201" s="5" t="s">
        <v>75</v>
      </c>
      <c r="D201" s="2" t="s">
        <v>90</v>
      </c>
      <c r="E201" s="7">
        <f>IF($H$17=1,SpeakerCorrection1!E72,0)</f>
        <v>-10.739492159158058</v>
      </c>
      <c r="F201" s="7">
        <f>IF($H$17=1,SpeakerCorrection1!F72,0)</f>
        <v>-4</v>
      </c>
      <c r="G201" s="7">
        <f>IF($H$17=1,SpeakerCorrection1!G72,0)</f>
        <v>-4.9460243790422</v>
      </c>
      <c r="H201" s="7">
        <f>IF($H$17=1,SpeakerCorrection1!H72,0)</f>
      </c>
    </row>
    <row r="202" spans="1:8" ht="12" customHeight="1">
      <c r="A202" s="97"/>
      <c r="B202" s="4" t="s">
        <v>84</v>
      </c>
      <c r="C202" s="5" t="s">
        <v>75</v>
      </c>
      <c r="D202" s="2" t="s">
        <v>90</v>
      </c>
      <c r="E202" s="7">
        <f>IF($H$17=1,SpeakerCorrection1!E73,0)</f>
        <v>-12.543781516776226</v>
      </c>
      <c r="F202" s="7">
        <f>IF($H$17=1,SpeakerCorrection1!F73,0)</f>
        <v>-4</v>
      </c>
      <c r="G202" s="7">
        <f>IF($H$17=1,SpeakerCorrection1!G73,0)</f>
        <v>-3.0733516647819386</v>
      </c>
      <c r="H202" s="7">
        <f>IF($H$17=1,SpeakerCorrection1!H73,0)</f>
      </c>
    </row>
    <row r="203" spans="1:8" ht="12" customHeight="1">
      <c r="A203" s="97"/>
      <c r="B203" s="4" t="s">
        <v>85</v>
      </c>
      <c r="C203" s="5" t="s">
        <v>75</v>
      </c>
      <c r="D203" s="2" t="s">
        <v>90</v>
      </c>
      <c r="E203" s="7">
        <f>IF($H$17=1,SpeakerCorrection1!E74,0)</f>
        <v>-15.346278823732696</v>
      </c>
      <c r="F203" s="7">
        <f>IF($H$17=1,SpeakerCorrection1!F74,0)</f>
        <v>-4</v>
      </c>
      <c r="G203" s="7">
        <f>IF($H$17=1,SpeakerCorrection1!G74,0)</f>
        <v>-0.32084613462211564</v>
      </c>
      <c r="H203" s="7">
        <f>IF($H$17=1,SpeakerCorrection1!H74,0)</f>
      </c>
    </row>
    <row r="204" spans="1:8" ht="12" customHeight="1">
      <c r="A204" s="97"/>
      <c r="B204" s="4" t="s">
        <v>86</v>
      </c>
      <c r="C204" s="5" t="s">
        <v>75</v>
      </c>
      <c r="D204" s="2" t="s">
        <v>90</v>
      </c>
      <c r="E204" s="7">
        <f>IF($H$17=1,SpeakerCorrection1!E75,0)</f>
        <v>-18.379158105696774</v>
      </c>
      <c r="F204" s="7">
        <f>IF($H$17=1,SpeakerCorrection1!F75,0)</f>
        <v>-4</v>
      </c>
      <c r="G204" s="7">
        <f>IF($H$17=1,SpeakerCorrection1!G75,0)</f>
        <v>2.4365267892274147</v>
      </c>
      <c r="H204" s="7">
        <f>IF($H$17=1,SpeakerCorrection1!H75,0)</f>
      </c>
    </row>
    <row r="205" spans="1:8" ht="12" customHeight="1">
      <c r="A205" s="97"/>
      <c r="B205" s="4" t="s">
        <v>87</v>
      </c>
      <c r="C205" s="5" t="s">
        <v>75</v>
      </c>
      <c r="D205" s="2" t="s">
        <v>90</v>
      </c>
      <c r="E205" s="7">
        <f>IF($H$17=1,SpeakerCorrection1!E76,0)</f>
        <v>-21.86579857131281</v>
      </c>
      <c r="F205" s="7">
        <f>IF($H$17=1,SpeakerCorrection1!F76,0)</f>
        <v>-4</v>
      </c>
      <c r="G205" s="7">
        <f>IF($H$17=1,SpeakerCorrection1!G76,0)</f>
        <v>5.221494744469396</v>
      </c>
      <c r="H205" s="7">
        <f>IF($H$17=1,SpeakerCorrection1!H76,0)</f>
      </c>
    </row>
    <row r="206" spans="1:8" ht="12" customHeight="1">
      <c r="A206" s="98"/>
      <c r="B206" s="4" t="s">
        <v>88</v>
      </c>
      <c r="C206" s="5" t="s">
        <v>75</v>
      </c>
      <c r="D206" s="2" t="s">
        <v>90</v>
      </c>
      <c r="E206" s="7">
        <f>IF($H$17=1,SpeakerCorrection1!E77,0)</f>
        <v>-24.352190998982408</v>
      </c>
      <c r="F206" s="7">
        <f>IF($H$17=1,SpeakerCorrection1!F77,0)</f>
        <v>-4</v>
      </c>
      <c r="G206" s="7">
        <f>IF($H$17=1,SpeakerCorrection1!G77,0)</f>
        <v>6.8620974067789575</v>
      </c>
      <c r="H206" s="7">
        <f>IF($H$17=1,SpeakerCorrection1!H77,0)</f>
      </c>
    </row>
    <row r="207" spans="1:8" ht="12" customHeight="1">
      <c r="A207" s="96" t="s">
        <v>100</v>
      </c>
      <c r="B207" s="4">
        <v>20</v>
      </c>
      <c r="C207" s="5" t="s">
        <v>75</v>
      </c>
      <c r="D207" s="2" t="s">
        <v>92</v>
      </c>
      <c r="E207" s="7">
        <f>IF($H$17=1,SpeakerCorrection1!E78,0)</f>
        <v>-0.9438311114304587</v>
      </c>
      <c r="F207" s="7">
        <f>IF($H$17=1,SpeakerCorrection1!F78,0)</f>
        <v>180</v>
      </c>
      <c r="G207" s="7">
        <f>IF($H$17=1,SpeakerCorrection1!G78,0)</f>
        <v>89.95225356845455</v>
      </c>
      <c r="H207" s="7">
        <f>IF($H$17=1,SpeakerCorrection1!H78,0)</f>
        <v>0</v>
      </c>
    </row>
    <row r="208" spans="1:8" ht="12" customHeight="1">
      <c r="A208" s="97"/>
      <c r="B208" s="4">
        <v>30</v>
      </c>
      <c r="C208" s="5" t="s">
        <v>75</v>
      </c>
      <c r="D208" s="2" t="s">
        <v>92</v>
      </c>
      <c r="E208" s="7">
        <f>IF($H$17=1,SpeakerCorrection1!E79,0)</f>
        <v>-1.415586635570094</v>
      </c>
      <c r="F208" s="7">
        <f>IF($H$17=1,SpeakerCorrection1!F79,0)</f>
        <v>180</v>
      </c>
      <c r="G208" s="7">
        <f>IF($H$17=1,SpeakerCorrection1!G79,0)</f>
        <v>89.92838037340506</v>
      </c>
      <c r="H208" s="7">
        <f>IF($H$17=1,SpeakerCorrection1!H79,0)</f>
        <v>0</v>
      </c>
    </row>
    <row r="209" spans="1:8" ht="12" customHeight="1">
      <c r="A209" s="97"/>
      <c r="B209" s="4">
        <v>40</v>
      </c>
      <c r="C209" s="5" t="s">
        <v>75</v>
      </c>
      <c r="D209" s="2" t="s">
        <v>92</v>
      </c>
      <c r="E209" s="7">
        <f>IF($H$17=1,SpeakerCorrection1!E80,0)</f>
        <v>-1.8871502676287346</v>
      </c>
      <c r="F209" s="7">
        <f>IF($H$17=1,SpeakerCorrection1!F80,0)</f>
        <v>180</v>
      </c>
      <c r="G209" s="7">
        <f>IF($H$17=1,SpeakerCorrection1!G80,0)</f>
        <v>89.90450720322336</v>
      </c>
      <c r="H209" s="7">
        <f>IF($H$17=1,SpeakerCorrection1!H80,0)</f>
        <v>0</v>
      </c>
    </row>
    <row r="210" spans="1:8" ht="12" customHeight="1">
      <c r="A210" s="97"/>
      <c r="B210" s="4">
        <v>50</v>
      </c>
      <c r="C210" s="5" t="s">
        <v>75</v>
      </c>
      <c r="D210" s="2" t="s">
        <v>92</v>
      </c>
      <c r="E210" s="7">
        <f>IF($H$17=1,SpeakerCorrection1!E81,0)</f>
        <v>-2.3584582862780317</v>
      </c>
      <c r="F210" s="7">
        <f>IF($H$17=1,SpeakerCorrection1!F81,0)</f>
        <v>180</v>
      </c>
      <c r="G210" s="7">
        <f>IF($H$17=1,SpeakerCorrection1!G81,0)</f>
        <v>89.88063406619868</v>
      </c>
      <c r="H210" s="7">
        <f>IF($H$17=1,SpeakerCorrection1!H81,0)</f>
        <v>0</v>
      </c>
    </row>
    <row r="211" spans="1:8" ht="12" customHeight="1">
      <c r="A211" s="97"/>
      <c r="B211" s="4">
        <v>70</v>
      </c>
      <c r="C211" s="5" t="s">
        <v>75</v>
      </c>
      <c r="D211" s="2" t="s">
        <v>92</v>
      </c>
      <c r="E211" s="7">
        <f>IF($H$17=1,SpeakerCorrection1!E82,0)</f>
        <v>-3.3000536860620713</v>
      </c>
      <c r="F211" s="7">
        <f>IF($H$17=1,SpeakerCorrection1!F82,0)</f>
        <v>180</v>
      </c>
      <c r="G211" s="7">
        <f>IF($H$17=1,SpeakerCorrection1!G82,0)</f>
        <v>89.83288792477673</v>
      </c>
      <c r="H211" s="7">
        <f>IF($H$17=1,SpeakerCorrection1!H82,0)</f>
        <v>0</v>
      </c>
    </row>
    <row r="212" spans="1:8" ht="12" customHeight="1">
      <c r="A212" s="97"/>
      <c r="B212" s="4">
        <v>100</v>
      </c>
      <c r="C212" s="5" t="s">
        <v>75</v>
      </c>
      <c r="D212" s="2" t="s">
        <v>92</v>
      </c>
      <c r="E212" s="7">
        <f>IF($H$17=1,SpeakerCorrection1!E83,0)</f>
        <v>-4.708951293331973</v>
      </c>
      <c r="F212" s="7">
        <f>IF($H$17=1,SpeakerCorrection1!F83,0)</f>
        <v>180</v>
      </c>
      <c r="G212" s="7">
        <f>IF($H$17=1,SpeakerCorrection1!G83,0)</f>
        <v>89.76126916854624</v>
      </c>
      <c r="H212" s="7">
        <f>IF($H$17=1,SpeakerCorrection1!H83,0)</f>
        <v>0</v>
      </c>
    </row>
    <row r="213" spans="1:8" ht="12" customHeight="1">
      <c r="A213" s="97"/>
      <c r="B213" s="4">
        <v>150</v>
      </c>
      <c r="C213" s="5" t="s">
        <v>75</v>
      </c>
      <c r="D213" s="2" t="s">
        <v>92</v>
      </c>
      <c r="E213" s="7">
        <f>IF($H$17=1,SpeakerCorrection1!E84,0)</f>
        <v>-7.043673978252066</v>
      </c>
      <c r="F213" s="7">
        <f>IF($H$17=1,SpeakerCorrection1!F84,0)</f>
        <v>180</v>
      </c>
      <c r="G213" s="7">
        <f>IF($H$17=1,SpeakerCorrection1!G84,0)</f>
        <v>89.64190634313758</v>
      </c>
      <c r="H213" s="7">
        <f>IF($H$17=1,SpeakerCorrection1!H84,0)</f>
        <v>0</v>
      </c>
    </row>
    <row r="214" spans="1:8" ht="12" customHeight="1">
      <c r="A214" s="97"/>
      <c r="B214" s="4">
        <v>200</v>
      </c>
      <c r="C214" s="5" t="s">
        <v>75</v>
      </c>
      <c r="D214" s="2" t="s">
        <v>92</v>
      </c>
      <c r="E214" s="7">
        <f>IF($H$17=1,SpeakerCorrection1!E85,0)</f>
        <v>-9.355133796716258</v>
      </c>
      <c r="F214" s="7">
        <f>IF($H$17=1,SpeakerCorrection1!F85,0)</f>
        <v>180</v>
      </c>
      <c r="G214" s="7">
        <f>IF($H$17=1,SpeakerCorrection1!G85,0)</f>
        <v>89.5225466259597</v>
      </c>
      <c r="H214" s="7">
        <f>IF($H$17=1,SpeakerCorrection1!H85,0)</f>
        <v>0</v>
      </c>
    </row>
    <row r="215" spans="1:8" ht="12" customHeight="1">
      <c r="A215" s="97"/>
      <c r="B215" s="4">
        <v>300</v>
      </c>
      <c r="C215" s="5" t="s">
        <v>75</v>
      </c>
      <c r="D215" s="2" t="s">
        <v>92</v>
      </c>
      <c r="E215" s="7">
        <f>IF($H$17=1,SpeakerCorrection1!E86,0)</f>
        <v>-13.880658313607903</v>
      </c>
      <c r="F215" s="7">
        <f>IF($H$17=1,SpeakerCorrection1!F86,0)</f>
        <v>180</v>
      </c>
      <c r="G215" s="7">
        <f>IF($H$17=1,SpeakerCorrection1!G86,0)</f>
        <v>89.28384065938101</v>
      </c>
      <c r="H215" s="7">
        <f>IF($H$17=1,SpeakerCorrection1!H86,0)</f>
        <v>0</v>
      </c>
    </row>
    <row r="216" spans="1:8" ht="12" customHeight="1">
      <c r="A216" s="97"/>
      <c r="B216" s="4">
        <v>400</v>
      </c>
      <c r="C216" s="5" t="s">
        <v>75</v>
      </c>
      <c r="D216" s="2" t="s">
        <v>92</v>
      </c>
      <c r="E216" s="7">
        <f>IF($H$17=1,SpeakerCorrection1!E87,0)</f>
        <v>-18.2364837445748</v>
      </c>
      <c r="F216" s="7">
        <f>IF($H$17=1,SpeakerCorrection1!F87,0)</f>
        <v>180</v>
      </c>
      <c r="G216" s="7">
        <f>IF($H$17=1,SpeakerCorrection1!G87,0)</f>
        <v>89.0451595524984</v>
      </c>
      <c r="H216" s="7">
        <f>IF($H$17=1,SpeakerCorrection1!H87,0)</f>
        <v>0</v>
      </c>
    </row>
    <row r="217" spans="1:8" ht="12" customHeight="1">
      <c r="A217" s="97"/>
      <c r="B217" s="4">
        <v>500</v>
      </c>
      <c r="C217" s="5" t="s">
        <v>75</v>
      </c>
      <c r="D217" s="2" t="s">
        <v>92</v>
      </c>
      <c r="E217" s="7">
        <f>IF($H$17=1,SpeakerCorrection1!E88,0)</f>
        <v>-22.384865361410117</v>
      </c>
      <c r="F217" s="7">
        <f>IF($H$17=1,SpeakerCorrection1!F88,0)</f>
        <v>180</v>
      </c>
      <c r="G217" s="7">
        <f>IF($H$17=1,SpeakerCorrection1!G88,0)</f>
        <v>88.80651158382376</v>
      </c>
      <c r="H217" s="7">
        <f>IF($H$17=1,SpeakerCorrection1!H88,0)</f>
        <v>0</v>
      </c>
    </row>
    <row r="218" spans="1:8" ht="12" customHeight="1">
      <c r="A218" s="97"/>
      <c r="B218" s="4">
        <v>700</v>
      </c>
      <c r="C218" s="5" t="s">
        <v>75</v>
      </c>
      <c r="D218" s="2" t="s">
        <v>92</v>
      </c>
      <c r="E218" s="7">
        <f>IF($H$17=1,SpeakerCorrection1!E89,0)</f>
        <v>-29.967997330370945</v>
      </c>
      <c r="F218" s="7">
        <f>IF($H$17=1,SpeakerCorrection1!F89,0)</f>
        <v>180</v>
      </c>
      <c r="G218" s="7">
        <f>IF($H$17=1,SpeakerCorrection1!G89,0)</f>
        <v>88.32934813894077</v>
      </c>
      <c r="H218" s="7">
        <f>IF($H$17=1,SpeakerCorrection1!H89,0)</f>
        <v>0</v>
      </c>
    </row>
    <row r="219" spans="1:8" ht="12" customHeight="1">
      <c r="A219" s="97"/>
      <c r="B219" s="4" t="s">
        <v>78</v>
      </c>
      <c r="C219" s="5" t="s">
        <v>75</v>
      </c>
      <c r="D219" s="2" t="s">
        <v>92</v>
      </c>
      <c r="E219" s="7">
        <f>IF($H$17=1,SpeakerCorrection1!E90,0)</f>
        <v>-39.47905262126773</v>
      </c>
      <c r="F219" s="7">
        <f>IF($H$17=1,SpeakerCorrection1!F90,0)</f>
        <v>180</v>
      </c>
      <c r="G219" s="7">
        <f>IF($H$17=1,SpeakerCorrection1!G90,0)</f>
        <v>87.61405798260286</v>
      </c>
      <c r="H219" s="7">
        <f>IF($H$17=1,SpeakerCorrection1!H90,0)</f>
        <v>0</v>
      </c>
    </row>
    <row r="220" spans="1:8" ht="12" customHeight="1">
      <c r="A220" s="97"/>
      <c r="B220" s="4" t="s">
        <v>79</v>
      </c>
      <c r="C220" s="5" t="s">
        <v>75</v>
      </c>
      <c r="D220" s="2" t="s">
        <v>92</v>
      </c>
      <c r="E220" s="7">
        <f>IF($H$17=1,SpeakerCorrection1!E91,0)</f>
        <v>-51.01557584434635</v>
      </c>
      <c r="F220" s="7">
        <f>IF($H$17=1,SpeakerCorrection1!F91,0)</f>
        <v>180</v>
      </c>
      <c r="G220" s="7">
        <f>IF($H$17=1,SpeakerCorrection1!G91,0)</f>
        <v>86.42366863796295</v>
      </c>
      <c r="H220" s="7">
        <f>IF($H$17=1,SpeakerCorrection1!H91,0)</f>
        <v>0</v>
      </c>
    </row>
    <row r="221" spans="1:8" ht="12" customHeight="1">
      <c r="A221" s="97"/>
      <c r="B221" s="4" t="s">
        <v>80</v>
      </c>
      <c r="C221" s="5" t="s">
        <v>75</v>
      </c>
      <c r="D221" s="2" t="s">
        <v>92</v>
      </c>
      <c r="E221" s="7">
        <f>IF($H$17=1,SpeakerCorrection1!E92,0)</f>
        <v>-58.74222776520413</v>
      </c>
      <c r="F221" s="7">
        <f>IF($H$17=1,SpeakerCorrection1!F92,0)</f>
        <v>180</v>
      </c>
      <c r="G221" s="7">
        <f>IF($H$17=1,SpeakerCorrection1!G92,0)</f>
        <v>85.23636231443312</v>
      </c>
      <c r="H221" s="7">
        <f>IF($H$17=1,SpeakerCorrection1!H92,0)</f>
        <v>0</v>
      </c>
    </row>
    <row r="222" spans="1:8" ht="12" customHeight="1">
      <c r="A222" s="97"/>
      <c r="B222" s="4" t="s">
        <v>82</v>
      </c>
      <c r="C222" s="5" t="s">
        <v>75</v>
      </c>
      <c r="D222" s="2" t="s">
        <v>92</v>
      </c>
      <c r="E222" s="7">
        <f>IF($H$17=1,SpeakerCorrection1!E93,0)</f>
        <v>-67.96844498439292</v>
      </c>
      <c r="F222" s="7">
        <f>IF($H$17=1,SpeakerCorrection1!F93,0)</f>
        <v>180</v>
      </c>
      <c r="G222" s="7">
        <f>IF($H$17=1,SpeakerCorrection1!G93,0)</f>
        <v>82.874989607489</v>
      </c>
      <c r="H222" s="7">
        <f>IF($H$17=1,SpeakerCorrection1!H93,0)</f>
        <v>0</v>
      </c>
    </row>
    <row r="223" spans="1:8" ht="12" customHeight="1">
      <c r="A223" s="97"/>
      <c r="B223" s="4" t="s">
        <v>83</v>
      </c>
      <c r="C223" s="5" t="s">
        <v>75</v>
      </c>
      <c r="D223" s="2" t="s">
        <v>92</v>
      </c>
      <c r="E223" s="7">
        <f>IF($H$17=1,SpeakerCorrection1!E94,0)</f>
        <v>-73.11694272881599</v>
      </c>
      <c r="F223" s="7">
        <f>IF($H$17=1,SpeakerCorrection1!F94,0)</f>
        <v>180</v>
      </c>
      <c r="G223" s="7">
        <f>IF($H$17=1,SpeakerCorrection1!G94,0)</f>
        <v>80.5376856399218</v>
      </c>
      <c r="H223" s="7">
        <f>IF($H$17=1,SpeakerCorrection1!H94,0)</f>
        <v>0</v>
      </c>
    </row>
    <row r="224" spans="1:8" ht="12" customHeight="1">
      <c r="A224" s="97"/>
      <c r="B224" s="4" t="s">
        <v>84</v>
      </c>
      <c r="C224" s="5" t="s">
        <v>75</v>
      </c>
      <c r="D224" s="2" t="s">
        <v>92</v>
      </c>
      <c r="E224" s="7">
        <f>IF($H$17=1,SpeakerCorrection1!E95,0)</f>
        <v>-76.35266150691375</v>
      </c>
      <c r="F224" s="7">
        <f>IF($H$17=1,SpeakerCorrection1!F95,0)</f>
        <v>180</v>
      </c>
      <c r="G224" s="7">
        <f>IF($H$17=1,SpeakerCorrection1!G95,0)</f>
        <v>78.23172073100957</v>
      </c>
      <c r="H224" s="7">
        <f>IF($H$17=1,SpeakerCorrection1!H95,0)</f>
        <v>0</v>
      </c>
    </row>
    <row r="225" spans="1:8" ht="12" customHeight="1">
      <c r="A225" s="97"/>
      <c r="B225" s="4" t="s">
        <v>85</v>
      </c>
      <c r="C225" s="5" t="s">
        <v>75</v>
      </c>
      <c r="D225" s="2" t="s">
        <v>92</v>
      </c>
      <c r="E225" s="7">
        <f>IF($H$17=1,SpeakerCorrection1!E96,0)</f>
        <v>-80.16113039446863</v>
      </c>
      <c r="F225" s="7">
        <f>IF($H$17=1,SpeakerCorrection1!F96,0)</f>
        <v>180</v>
      </c>
      <c r="G225" s="7">
        <f>IF($H$17=1,SpeakerCorrection1!G96,0)</f>
        <v>73.73980830044624</v>
      </c>
      <c r="H225" s="7">
        <f>IF($H$17=1,SpeakerCorrection1!H96,0)</f>
        <v>0</v>
      </c>
    </row>
    <row r="226" spans="1:8" ht="12" customHeight="1">
      <c r="A226" s="97"/>
      <c r="B226" s="4" t="s">
        <v>86</v>
      </c>
      <c r="C226" s="5" t="s">
        <v>75</v>
      </c>
      <c r="D226" s="2" t="s">
        <v>92</v>
      </c>
      <c r="E226" s="7">
        <f>IF($H$17=1,SpeakerCorrection1!E97,0)</f>
        <v>-83.07815853607852</v>
      </c>
      <c r="F226" s="7">
        <f>IF($H$17=1,SpeakerCorrection1!F97,0)</f>
        <v>180</v>
      </c>
      <c r="G226" s="7">
        <f>IF($H$17=1,SpeakerCorrection1!G97,0)</f>
        <v>67.38015223385803</v>
      </c>
      <c r="H226" s="7">
        <f>IF($H$17=1,SpeakerCorrection1!H97,0)</f>
        <v>0</v>
      </c>
    </row>
    <row r="227" spans="1:8" ht="12" customHeight="1">
      <c r="A227" s="97"/>
      <c r="B227" s="4" t="s">
        <v>87</v>
      </c>
      <c r="C227" s="5" t="s">
        <v>75</v>
      </c>
      <c r="D227" s="2" t="s">
        <v>92</v>
      </c>
      <c r="E227" s="7">
        <f>IF($H$17=1,SpeakerCorrection1!E98,0)</f>
        <v>-85.37294281541672</v>
      </c>
      <c r="F227" s="7">
        <f>IF($H$17=1,SpeakerCorrection1!F98,0)</f>
        <v>180</v>
      </c>
      <c r="G227" s="7">
        <f>IF($H$17=1,SpeakerCorrection1!G98,0)</f>
        <v>57.99463854278664</v>
      </c>
      <c r="H227" s="7">
        <f>IF($H$17=1,SpeakerCorrection1!H98,0)</f>
        <v>0</v>
      </c>
    </row>
    <row r="228" spans="1:8" ht="12" customHeight="1">
      <c r="A228" s="98"/>
      <c r="B228" s="4" t="s">
        <v>88</v>
      </c>
      <c r="C228" s="5" t="s">
        <v>75</v>
      </c>
      <c r="D228" s="2" t="s">
        <v>92</v>
      </c>
      <c r="E228" s="7">
        <f>IF($H$17=1,SpeakerCorrection1!E99,0)</f>
        <v>-86.52640521133839</v>
      </c>
      <c r="F228" s="7">
        <f>IF($H$17=1,SpeakerCorrection1!F99,0)</f>
        <v>180</v>
      </c>
      <c r="G228" s="7">
        <f>IF($H$17=1,SpeakerCorrection1!G99,0)</f>
        <v>50.19445270889448</v>
      </c>
      <c r="H228" s="7">
        <f>IF($H$17=1,SpeakerCorrection1!H99,0)</f>
        <v>0</v>
      </c>
    </row>
  </sheetData>
  <sheetProtection password="BF23" sheet="1"/>
  <mergeCells count="20">
    <mergeCell ref="A185:A206"/>
    <mergeCell ref="A207:A228"/>
    <mergeCell ref="A1:F1"/>
    <mergeCell ref="A75:A96"/>
    <mergeCell ref="A141:A162"/>
    <mergeCell ref="A18:A19"/>
    <mergeCell ref="A23:A30"/>
    <mergeCell ref="A31:A37"/>
    <mergeCell ref="A38:A45"/>
    <mergeCell ref="A46:A52"/>
    <mergeCell ref="I29:L29"/>
    <mergeCell ref="M29:M30"/>
    <mergeCell ref="M31:M52"/>
    <mergeCell ref="M53:M74"/>
    <mergeCell ref="G16:H16"/>
    <mergeCell ref="A163:A184"/>
    <mergeCell ref="A97:A118"/>
    <mergeCell ref="A119:A140"/>
    <mergeCell ref="A53:A74"/>
    <mergeCell ref="B20:C20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111" t="s">
        <v>111</v>
      </c>
      <c r="B1" s="112"/>
      <c r="C1" s="112"/>
      <c r="D1" s="112"/>
      <c r="E1" s="112"/>
      <c r="F1" s="113"/>
      <c r="G1" s="24" t="s">
        <v>17</v>
      </c>
      <c r="H1" s="25" t="s">
        <v>18</v>
      </c>
      <c r="I1" s="41" t="s">
        <v>2</v>
      </c>
    </row>
    <row r="2" spans="1:16" ht="15" customHeight="1">
      <c r="A2" s="17"/>
      <c r="B2" s="18"/>
      <c r="C2" s="18"/>
      <c r="D2" s="18"/>
      <c r="E2" s="18"/>
      <c r="F2" s="18"/>
      <c r="G2" s="18"/>
      <c r="H2" s="19"/>
      <c r="I2" s="42" t="s">
        <v>102</v>
      </c>
      <c r="J2" s="1"/>
      <c r="K2" s="1"/>
      <c r="L2" s="1"/>
      <c r="M2" s="1"/>
      <c r="N2" s="1"/>
      <c r="O2" s="1"/>
      <c r="P2" s="1"/>
    </row>
    <row r="3" spans="1:16" ht="15" customHeight="1">
      <c r="A3" s="20"/>
      <c r="B3" s="21"/>
      <c r="C3" s="21"/>
      <c r="D3" s="21"/>
      <c r="E3" s="21"/>
      <c r="F3" s="21"/>
      <c r="G3" s="21"/>
      <c r="H3" s="22"/>
      <c r="I3" s="1" t="s">
        <v>103</v>
      </c>
      <c r="J3" s="1"/>
      <c r="K3" s="1"/>
      <c r="L3" s="1"/>
      <c r="M3" s="1"/>
      <c r="N3" s="1"/>
      <c r="O3" s="1"/>
      <c r="P3" s="1"/>
    </row>
    <row r="4" spans="1:16" ht="15" customHeight="1">
      <c r="A4" s="20"/>
      <c r="B4" s="21"/>
      <c r="C4" s="21"/>
      <c r="D4" s="21"/>
      <c r="E4" s="21"/>
      <c r="F4" s="21"/>
      <c r="G4" s="21"/>
      <c r="H4" s="22"/>
      <c r="I4" s="1" t="s">
        <v>104</v>
      </c>
      <c r="J4" s="1"/>
      <c r="K4" s="1"/>
      <c r="L4" s="1"/>
      <c r="M4" s="1"/>
      <c r="N4" s="1"/>
      <c r="O4" s="1"/>
      <c r="P4" s="1"/>
    </row>
    <row r="5" spans="1:16" ht="15" customHeight="1">
      <c r="A5" s="20"/>
      <c r="B5" s="21"/>
      <c r="C5" s="21"/>
      <c r="D5" s="21"/>
      <c r="E5" s="21"/>
      <c r="F5" s="21"/>
      <c r="G5" s="21"/>
      <c r="H5" s="22"/>
      <c r="I5" s="1" t="s">
        <v>105</v>
      </c>
      <c r="J5" s="1"/>
      <c r="K5" s="1"/>
      <c r="L5" s="1"/>
      <c r="M5" s="1"/>
      <c r="N5" s="1"/>
      <c r="O5" s="1"/>
      <c r="P5" s="1"/>
    </row>
    <row r="6" spans="1:16" ht="15" customHeight="1">
      <c r="A6" s="20"/>
      <c r="B6" s="21"/>
      <c r="C6" s="21"/>
      <c r="D6" s="21"/>
      <c r="E6" s="21"/>
      <c r="F6" s="21"/>
      <c r="G6" s="21"/>
      <c r="H6" s="22"/>
      <c r="I6" s="1" t="s">
        <v>106</v>
      </c>
      <c r="J6" s="1"/>
      <c r="K6" s="1"/>
      <c r="L6" s="1"/>
      <c r="M6" s="1"/>
      <c r="N6" s="1"/>
      <c r="O6" s="1"/>
      <c r="P6" s="1"/>
    </row>
    <row r="7" spans="1:16" ht="15" customHeight="1">
      <c r="A7" s="20"/>
      <c r="B7" s="21"/>
      <c r="C7" s="21"/>
      <c r="D7" s="21"/>
      <c r="E7" s="21"/>
      <c r="F7" s="21"/>
      <c r="G7" s="21"/>
      <c r="H7" s="22"/>
      <c r="I7" s="42" t="s">
        <v>107</v>
      </c>
      <c r="J7" s="1"/>
      <c r="K7" s="1"/>
      <c r="L7" s="1"/>
      <c r="M7" s="1"/>
      <c r="N7" s="1"/>
      <c r="O7" s="1"/>
      <c r="P7" s="1"/>
    </row>
    <row r="8" spans="1:16" ht="15" customHeight="1">
      <c r="A8" s="20"/>
      <c r="B8" s="21"/>
      <c r="C8" s="21"/>
      <c r="D8" s="21"/>
      <c r="E8" s="21"/>
      <c r="F8" s="21"/>
      <c r="G8" s="21"/>
      <c r="H8" s="22"/>
      <c r="I8" s="1" t="s">
        <v>108</v>
      </c>
      <c r="J8" s="1"/>
      <c r="K8" s="1"/>
      <c r="L8" s="1"/>
      <c r="M8" s="1"/>
      <c r="N8" s="1"/>
      <c r="O8" s="1"/>
      <c r="P8" s="1"/>
    </row>
    <row r="9" spans="1:16" ht="15" customHeight="1">
      <c r="A9" s="20"/>
      <c r="B9" s="21"/>
      <c r="C9" s="21"/>
      <c r="D9" s="21"/>
      <c r="E9" s="21"/>
      <c r="F9" s="21"/>
      <c r="G9" s="21"/>
      <c r="H9" s="22"/>
      <c r="I9" s="1" t="s">
        <v>109</v>
      </c>
      <c r="J9" s="1"/>
      <c r="K9" s="1"/>
      <c r="L9" s="1"/>
      <c r="M9" s="1"/>
      <c r="N9" s="1"/>
      <c r="O9" s="1"/>
      <c r="P9" s="1"/>
    </row>
    <row r="10" spans="1:16" ht="15" customHeight="1">
      <c r="A10" s="20"/>
      <c r="B10" s="21"/>
      <c r="C10" s="21"/>
      <c r="D10" s="21"/>
      <c r="E10" s="21"/>
      <c r="F10" s="21"/>
      <c r="G10" s="21"/>
      <c r="H10" s="22"/>
      <c r="I10" s="1" t="s">
        <v>226</v>
      </c>
      <c r="J10" s="1"/>
      <c r="K10" s="1"/>
      <c r="L10" s="1"/>
      <c r="M10" s="1"/>
      <c r="N10" s="1"/>
      <c r="O10" s="1"/>
      <c r="P10" s="1"/>
    </row>
    <row r="11" spans="1:16" ht="15" customHeight="1">
      <c r="A11" s="20"/>
      <c r="B11" s="21"/>
      <c r="C11" s="21"/>
      <c r="D11" s="21"/>
      <c r="E11" s="21"/>
      <c r="F11" s="21"/>
      <c r="G11" s="21"/>
      <c r="H11" s="22"/>
      <c r="I11" s="1" t="s">
        <v>110</v>
      </c>
      <c r="J11" s="1"/>
      <c r="K11" s="1"/>
      <c r="L11" s="1"/>
      <c r="M11" s="1"/>
      <c r="N11" s="1"/>
      <c r="O11" s="1"/>
      <c r="P11" s="1"/>
    </row>
    <row r="12" spans="1:16" ht="15" customHeight="1">
      <c r="A12" s="20"/>
      <c r="B12" s="21"/>
      <c r="C12" s="21"/>
      <c r="D12" s="21"/>
      <c r="E12" s="21"/>
      <c r="F12" s="21"/>
      <c r="G12" s="21"/>
      <c r="H12" s="22"/>
      <c r="I12" s="1" t="s">
        <v>219</v>
      </c>
      <c r="J12" s="1"/>
      <c r="K12" s="1"/>
      <c r="L12" s="1"/>
      <c r="M12" s="1"/>
      <c r="N12" s="1"/>
      <c r="O12" s="1"/>
      <c r="P12" s="1"/>
    </row>
    <row r="13" spans="1:16" ht="15" customHeight="1">
      <c r="A13" s="20"/>
      <c r="B13" s="21"/>
      <c r="C13" s="21"/>
      <c r="D13" s="21"/>
      <c r="E13" s="21"/>
      <c r="F13" s="21"/>
      <c r="G13" s="21"/>
      <c r="H13" s="22"/>
      <c r="I13" t="s">
        <v>218</v>
      </c>
      <c r="J13" s="1"/>
      <c r="K13" s="1"/>
      <c r="L13" s="1"/>
      <c r="M13" s="1"/>
      <c r="N13" s="1"/>
      <c r="O13" s="1"/>
      <c r="P13" s="1"/>
    </row>
    <row r="14" spans="1:16" ht="15" customHeight="1">
      <c r="A14" s="20"/>
      <c r="B14" s="21"/>
      <c r="C14" s="21"/>
      <c r="D14" s="21"/>
      <c r="E14" s="21"/>
      <c r="F14" s="21"/>
      <c r="G14" s="21"/>
      <c r="H14" s="22"/>
      <c r="I14" s="1" t="s">
        <v>217</v>
      </c>
      <c r="J14" s="1"/>
      <c r="K14" s="1"/>
      <c r="L14" s="1"/>
      <c r="M14" s="1"/>
      <c r="N14" s="1"/>
      <c r="O14" s="1"/>
      <c r="P14" s="1"/>
    </row>
    <row r="15" spans="1:16" ht="15" customHeight="1">
      <c r="A15" s="20"/>
      <c r="B15" s="21"/>
      <c r="C15" s="21"/>
      <c r="D15" s="21"/>
      <c r="E15" s="21"/>
      <c r="F15" s="21"/>
      <c r="G15" s="21"/>
      <c r="H15" s="22"/>
      <c r="I15" s="1"/>
      <c r="J15" s="1"/>
      <c r="K15" s="1"/>
      <c r="L15" s="1"/>
      <c r="M15" s="1"/>
      <c r="N15" s="1"/>
      <c r="O15" s="1"/>
      <c r="P15" s="1"/>
    </row>
    <row r="16" spans="1:16" ht="12" customHeight="1">
      <c r="A16" s="23" t="s">
        <v>112</v>
      </c>
      <c r="B16" s="99" t="s">
        <v>113</v>
      </c>
      <c r="C16" s="100"/>
      <c r="D16" s="23" t="s">
        <v>114</v>
      </c>
      <c r="E16" s="2" t="s">
        <v>67</v>
      </c>
      <c r="F16" s="2" t="s">
        <v>147</v>
      </c>
      <c r="G16" s="2" t="s">
        <v>148</v>
      </c>
      <c r="H16" s="27" t="s">
        <v>149</v>
      </c>
      <c r="I16" s="1"/>
      <c r="J16" s="1"/>
      <c r="K16" s="1"/>
      <c r="L16" s="1"/>
      <c r="M16" s="1"/>
      <c r="N16" s="1"/>
      <c r="O16" s="1"/>
      <c r="P16" s="1"/>
    </row>
    <row r="17" spans="1:16" ht="12" customHeight="1">
      <c r="A17" s="9" t="s">
        <v>115</v>
      </c>
      <c r="B17" s="11" t="s">
        <v>116</v>
      </c>
      <c r="C17" s="12" t="s">
        <v>117</v>
      </c>
      <c r="D17" s="2" t="s">
        <v>118</v>
      </c>
      <c r="E17" s="50">
        <v>6.56</v>
      </c>
      <c r="F17" s="50">
        <v>6.56</v>
      </c>
      <c r="G17" s="50">
        <v>6.56</v>
      </c>
      <c r="H17" s="50"/>
      <c r="I17" s="1"/>
      <c r="J17" s="1"/>
      <c r="K17" s="1"/>
      <c r="L17" s="1"/>
      <c r="M17" s="1"/>
      <c r="N17" s="1"/>
      <c r="O17" s="1"/>
      <c r="P17" s="1"/>
    </row>
    <row r="18" spans="1:16" ht="12" customHeight="1">
      <c r="A18" s="8" t="s">
        <v>119</v>
      </c>
      <c r="B18" s="11" t="s">
        <v>116</v>
      </c>
      <c r="C18" s="9" t="s">
        <v>120</v>
      </c>
      <c r="D18" s="2" t="s">
        <v>121</v>
      </c>
      <c r="E18" s="51">
        <v>91</v>
      </c>
      <c r="F18" s="51">
        <v>87</v>
      </c>
      <c r="G18" s="51">
        <v>101.736</v>
      </c>
      <c r="H18" s="51"/>
      <c r="I18" s="1"/>
      <c r="J18" s="1"/>
      <c r="K18" s="1"/>
      <c r="L18" s="1"/>
      <c r="M18" s="1"/>
      <c r="N18" s="1"/>
      <c r="O18" s="1"/>
      <c r="P18" s="1"/>
    </row>
    <row r="19" spans="1:16" ht="12" customHeight="1">
      <c r="A19" s="8" t="s">
        <v>122</v>
      </c>
      <c r="B19" s="114" t="s">
        <v>123</v>
      </c>
      <c r="C19" s="115"/>
      <c r="D19" s="116"/>
      <c r="E19" s="49"/>
      <c r="F19" s="49">
        <v>1</v>
      </c>
      <c r="G19" s="49"/>
      <c r="H19" s="49"/>
      <c r="I19" s="1"/>
      <c r="J19" s="1"/>
      <c r="K19" s="1"/>
      <c r="L19" s="1"/>
      <c r="M19" s="1"/>
      <c r="N19" s="1"/>
      <c r="O19" s="1"/>
      <c r="P19" s="1"/>
    </row>
    <row r="20" spans="1:16" ht="12" customHeight="1">
      <c r="A20" s="9" t="s">
        <v>124</v>
      </c>
      <c r="B20" s="44" t="s">
        <v>125</v>
      </c>
      <c r="C20" s="9" t="s">
        <v>126</v>
      </c>
      <c r="D20" s="2" t="s">
        <v>0</v>
      </c>
      <c r="E20" s="45">
        <f>IF(OR(AND(F20&lt;&gt;0,F21&lt;&gt;0,F20&gt;=F21),AND(G20&lt;&gt;0,G21&lt;&gt;0,G20&gt;=G21)),"周波数不適","")</f>
      </c>
      <c r="F20" s="49"/>
      <c r="G20" s="49">
        <v>24000</v>
      </c>
      <c r="H20" s="49"/>
      <c r="I20" s="1"/>
      <c r="J20" s="1"/>
      <c r="K20" s="1"/>
      <c r="L20" s="1"/>
      <c r="M20" s="1"/>
      <c r="N20" s="1"/>
      <c r="O20" s="1"/>
      <c r="P20" s="1"/>
    </row>
    <row r="21" spans="1:16" ht="12" customHeight="1">
      <c r="A21" s="9" t="s">
        <v>127</v>
      </c>
      <c r="B21" s="44" t="s">
        <v>125</v>
      </c>
      <c r="C21" s="9" t="s">
        <v>128</v>
      </c>
      <c r="D21" s="2" t="s">
        <v>0</v>
      </c>
      <c r="E21" s="49">
        <v>1214</v>
      </c>
      <c r="F21" s="49"/>
      <c r="G21" s="49"/>
      <c r="H21" s="13"/>
      <c r="I21" s="1"/>
      <c r="J21" s="1"/>
      <c r="K21" s="1"/>
      <c r="L21" s="1"/>
      <c r="M21" s="1"/>
      <c r="N21" s="1"/>
      <c r="O21" s="1"/>
      <c r="P21" s="1"/>
    </row>
    <row r="22" spans="1:16" ht="12" customHeight="1">
      <c r="A22" s="104" t="s">
        <v>129</v>
      </c>
      <c r="B22" s="8" t="s">
        <v>130</v>
      </c>
      <c r="C22" s="9" t="s">
        <v>131</v>
      </c>
      <c r="D22" s="2" t="s">
        <v>132</v>
      </c>
      <c r="E22" s="13"/>
      <c r="F22" s="3">
        <f>IF(F$20="","",F$17*10^3/(2*PI()*F20))</f>
      </c>
      <c r="G22" s="3">
        <f>IF(G$20="","",G$17*10^3/(2*PI()*G20))</f>
        <v>0.04350235111178473</v>
      </c>
      <c r="H22" s="3">
        <f>IF(H$20="","",H$17*10^3/(2*PI()*H20))</f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105"/>
      <c r="B23" s="8" t="s">
        <v>133</v>
      </c>
      <c r="C23" s="9" t="s">
        <v>134</v>
      </c>
      <c r="D23" s="52" t="s">
        <v>135</v>
      </c>
      <c r="E23" s="10"/>
      <c r="F23" s="3">
        <f>IF(F$20="","",10^6/(2*PI()*F20*F$17))</f>
      </c>
      <c r="G23" s="3">
        <f>IF(G$20="","",10^6/(2*PI()*G20*G$17))</f>
        <v>1.0108926771588882</v>
      </c>
      <c r="H23" s="3">
        <f>IF(H$20="","",10^6/(2*PI()*H20*H$17))</f>
      </c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104" t="s">
        <v>136</v>
      </c>
      <c r="B24" s="8" t="s">
        <v>130</v>
      </c>
      <c r="C24" s="9" t="s">
        <v>137</v>
      </c>
      <c r="D24" s="2" t="s">
        <v>132</v>
      </c>
      <c r="E24" s="3">
        <f>IF(E$21="","",E$17*10^3/(2*PI()*E21))</f>
        <v>0.8600135310402253</v>
      </c>
      <c r="F24" s="3">
        <f>IF(F$21="","",F$17*10^3/(2*PI()*F21))</f>
      </c>
      <c r="G24" s="3">
        <f>IF(G$21="","",G$17*10^3/(2*PI()*G21))</f>
      </c>
      <c r="H24" s="10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105"/>
      <c r="B25" s="8" t="s">
        <v>133</v>
      </c>
      <c r="C25" s="9" t="s">
        <v>138</v>
      </c>
      <c r="D25" s="52" t="s">
        <v>135</v>
      </c>
      <c r="E25" s="3">
        <f>IF(E$21="","",10^6/(2*PI()*E21*E$17))</f>
        <v>19.984698724722666</v>
      </c>
      <c r="F25" s="3">
        <f>IF(F$21="","",10^6/(2*PI()*F21*F$17))</f>
      </c>
      <c r="G25" s="3">
        <f>IF(G$21="","",10^6/(2*PI()*G21*G$17))</f>
      </c>
      <c r="H25" s="10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106" t="s">
        <v>43</v>
      </c>
      <c r="B26" s="8" t="s">
        <v>45</v>
      </c>
      <c r="C26" s="9" t="s">
        <v>139</v>
      </c>
      <c r="D26" s="2" t="s">
        <v>39</v>
      </c>
      <c r="E26" s="50">
        <v>6.56</v>
      </c>
      <c r="F26" s="50">
        <v>7.79</v>
      </c>
      <c r="G26" s="50">
        <v>6.97</v>
      </c>
      <c r="H26" s="50"/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107"/>
      <c r="B27" s="8" t="s">
        <v>48</v>
      </c>
      <c r="C27" s="9" t="s">
        <v>140</v>
      </c>
      <c r="D27" s="2" t="s">
        <v>1</v>
      </c>
      <c r="E27" s="51">
        <v>91</v>
      </c>
      <c r="F27" s="51">
        <v>98.65</v>
      </c>
      <c r="G27" s="51">
        <v>102</v>
      </c>
      <c r="H27" s="51"/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107"/>
      <c r="B28" s="114" t="s">
        <v>141</v>
      </c>
      <c r="C28" s="115"/>
      <c r="D28" s="116"/>
      <c r="E28" s="49"/>
      <c r="F28" s="49">
        <v>1</v>
      </c>
      <c r="G28" s="49">
        <v>1</v>
      </c>
      <c r="H28" s="49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107"/>
      <c r="B29" s="8" t="s">
        <v>53</v>
      </c>
      <c r="C29" s="9" t="s">
        <v>142</v>
      </c>
      <c r="D29" s="2" t="s">
        <v>39</v>
      </c>
      <c r="E29" s="10">
        <f>IF(E$17*E$18*E$26*E$27=0,"",IF(E$28=0,"",IF(E$18&gt;E$27+10*LOG(E$17/E$26),"Unable",IF(E$26/(10^((E$18-E$27-10*LOG(E$17/E$26))/20))-E$17=0,"Blank",IF(E$28=2,IF(E$17&gt;=E$26,"Blank",E$17*E$26/ABS(E$26-E$17)),E$17*E$26/ABS(E$26/(10^((E$18-E$27-10*LOG(E$17/E$26))/20))-E$17))))))</f>
      </c>
      <c r="F29" s="10">
        <f>IF(F$17*F$18*F$26*F$27=0,"",IF(F$28=0,"",IF(F$18&gt;F$27+10*LOG(F$17/F$26),"Unable",IF(F$26/(10^((F$18-F$27-10*LOG(F$17/F$26))/20))-F$17=0,"Blank",IF(F$28=2,IF(F$17&gt;=F$26,"Blank",F$17*F$26/ABS(F$26-F$17)),F$17*F$26/ABS(F$26/(10^((F$18-F$27-10*LOG(F$17/F$26))/20))-F$17))))))</f>
        <v>2.4597909450275144</v>
      </c>
      <c r="G29" s="10">
        <f>IF(G$17*G$18*G$26*G$27=0,"",IF(G$28=0,"",IF(G$18&gt;G$27+10*LOG(G$17/G$26),"Unable",IF(G$26/(10^((G$18-G$27-10*LOG(G$17/G$26))/20))-G$17=0,"Blank",IF(G$28=2,IF(G$17&gt;=G$26,"Blank",G$17*G$26/ABS(G$26-G$17)),G$17*G$26/ABS(G$26/(10^((G$18-G$27-10*LOG(G$17/G$26))/20))-G$17))))))</f>
        <v>111.36510602454196</v>
      </c>
      <c r="H29" s="10">
        <f>IF(H$17*H$18*H$26*H$27=0,"",IF(H$28=0,"",IF(H$18&gt;H$27+10*LOG(H$17/H$26),"Unable",IF(H$26/(10^((H$18-H$27-10*LOG(H$17/H$26))/20))-H$17=0,"Blank",IF(H$28=2,IF(H$17&gt;=H$26,"Blank",H$17*H$26/ABS(H$26-H$17)),H$17*H$26/ABS(H$26/(10^((H$18-H$27-10*LOG(H$17/H$26))/20))-H$17))))))</f>
      </c>
      <c r="I29" s="1"/>
      <c r="J29" s="1"/>
      <c r="K29" s="1"/>
      <c r="L29" s="1"/>
      <c r="M29" s="1"/>
      <c r="N29" s="1"/>
      <c r="O29" s="1"/>
      <c r="P29" s="1"/>
    </row>
    <row r="30" spans="1:16" ht="12" customHeight="1">
      <c r="A30" s="107"/>
      <c r="B30" s="8" t="s">
        <v>56</v>
      </c>
      <c r="C30" s="9" t="s">
        <v>143</v>
      </c>
      <c r="D30" s="2" t="s">
        <v>39</v>
      </c>
      <c r="E30" s="10">
        <f>IF(E$17*E$18*E$26*E$27=0,"",IF(E$28=0,"",IF(E$27+E$33&lt;E$18,"Unable",IF(E$29="Unable","Unable",IF(E$29="Blank",E$17-E$26,E$17-E$29*E$26/(E$29+E$26))))))</f>
      </c>
      <c r="F30" s="10">
        <f>IF(F$17*F$18*F$26*F$27=0,"",IF(F$28=0,"",IF(F$27+F$33&lt;F$18,"Unable",IF(F$29="Unable","Unable",IF(F$29="Blank",F$17-F$26,F$17-F$29*F$26/(F$29+F$26))))))</f>
        <v>4.69052075261493</v>
      </c>
      <c r="G30" s="10">
        <f>IF(G$17*G$18*G$26*G$27=0,"",IF(G$28=0,"",IF(G$27+G$33&lt;G$18,"Unable",IF(G$29="Unable","Unable",IF(G$29="Blank",G$17-G$26,G$17-G$29*G$26/(G$29+G$26))))))</f>
        <v>0.0005366668613504544</v>
      </c>
      <c r="H30" s="10">
        <f>IF(H$17*H$18*H$26*H$27=0,"",IF(H$28=0,"",IF(H$27+H$33&lt;H$18,"Unable",IF(H$29="Unable","Unable",IF(H$29="Blank",H$17-H$26,H$17-H$29*H$26/(H$29+H$26))))))</f>
      </c>
      <c r="I30" s="1"/>
      <c r="J30" s="1"/>
      <c r="K30" s="1"/>
      <c r="L30" s="1"/>
      <c r="M30" s="1"/>
      <c r="N30" s="1"/>
      <c r="O30" s="1"/>
      <c r="P30" s="1"/>
    </row>
    <row r="31" spans="1:16" ht="12" customHeight="1">
      <c r="A31" s="107"/>
      <c r="B31" s="8" t="s">
        <v>59</v>
      </c>
      <c r="C31" s="15" t="s">
        <v>144</v>
      </c>
      <c r="D31" s="2" t="s">
        <v>39</v>
      </c>
      <c r="E31" s="16">
        <f>IF(E$17*E$18*E$26*E$27=0,"",IF(OR(E$28=1,E$28=2),E$17,E$26))</f>
        <v>6.56</v>
      </c>
      <c r="F31" s="16">
        <f>IF(F$17*F$18*F$26*F$27=0,"",IF(OR(F$28=1,F$28=2),F$17,F$26))</f>
        <v>6.56</v>
      </c>
      <c r="G31" s="16">
        <f>IF(G$17*G$18*G$26*G$27=0,"",IF(OR(G$28=1,G$28=2),G$17,G$26))</f>
        <v>6.56</v>
      </c>
      <c r="H31" s="16">
        <f>IF(H$17*H$18*H$26*H$27=0,"",IF(OR(H$28=1,H$28=2),H$17,H$26))</f>
      </c>
      <c r="I31" s="1"/>
      <c r="J31" s="1"/>
      <c r="K31" s="1"/>
      <c r="L31" s="1"/>
      <c r="M31" s="1"/>
      <c r="N31" s="1"/>
      <c r="O31" s="1"/>
      <c r="P31" s="1"/>
    </row>
    <row r="32" spans="1:16" ht="12" customHeight="1">
      <c r="A32" s="107"/>
      <c r="B32" s="8" t="s">
        <v>62</v>
      </c>
      <c r="C32" s="9" t="s">
        <v>145</v>
      </c>
      <c r="D32" s="2" t="s">
        <v>146</v>
      </c>
      <c r="E32" s="10">
        <f>IF(E$17*E$18*E$26*E$27=0,"",10^(E$33/20))</f>
        <v>1</v>
      </c>
      <c r="F32" s="10">
        <f>IF(F$17*F$18*F$26*F$27=0,"",10^(F$33/20))</f>
        <v>1</v>
      </c>
      <c r="G32" s="10">
        <f>IF(G$17*G$18*G$26*G$27=0,"",10^(G$33/20))</f>
        <v>1</v>
      </c>
      <c r="H32" s="10">
        <f>IF(H$17*H$18*H$26*H$27=0,"",10^(H$33/20))</f>
      </c>
      <c r="I32" s="1"/>
      <c r="J32" s="1"/>
      <c r="K32" s="1"/>
      <c r="L32" s="1"/>
      <c r="M32" s="1"/>
      <c r="N32" s="1"/>
      <c r="O32" s="1"/>
      <c r="P32" s="1"/>
    </row>
    <row r="33" spans="1:16" ht="12" customHeight="1">
      <c r="A33" s="108"/>
      <c r="B33" s="8" t="s">
        <v>62</v>
      </c>
      <c r="C33" s="9" t="s">
        <v>145</v>
      </c>
      <c r="D33" s="2" t="s">
        <v>66</v>
      </c>
      <c r="E33" s="10">
        <f>IF(E$17*E$18*E$26*E$27=0,"",IF(E$28=1,0,E$27-E$18+10*LOG(E$17/E$26)+IF(E$28=2,IF(E$29="Blank",20*LOG(E$26/E$31),20*LOG(E$26*E$29/((E$26+E$29)*E$31))),0)))</f>
        <v>0</v>
      </c>
      <c r="F33" s="10">
        <f>IF(F$17*F$18*F$26*F$27=0,"",IF(F$28=1,0,F$27-F$18+10*LOG(F$17/F$26)+IF(F$28=2,IF(F$29="Blank",20*LOG(F$26/F$31),20*LOG(F$26*F$29/((F$26+F$29)*F$31))),0)))</f>
        <v>0</v>
      </c>
      <c r="G33" s="10">
        <f>IF(G$17*G$18*G$26*G$27=0,"",IF(G$28=1,0,G$27-G$18+10*LOG(G$17/G$26)+IF(G$28=2,IF(G$29="Blank",20*LOG(G$26/G$31),20*LOG(G$26*G$29/((G$26+G$29)*G$31))),0)))</f>
        <v>0</v>
      </c>
      <c r="H33" s="10">
        <f>IF(H$17*H$18*H$26*H$27=0,"",IF(H$28=1,0,H$27-H$18+10*LOG(H$17/H$26)+IF(H$28=2,IF(H$29="Blank",20*LOG(H$26/H$31),20*LOG(H$26*H$29/((H$26+H$29)*H$31))),0)))</f>
      </c>
      <c r="I33" s="1"/>
      <c r="J33" s="1"/>
      <c r="K33" s="1"/>
      <c r="L33" s="1"/>
      <c r="M33" s="1"/>
      <c r="N33" s="1"/>
      <c r="O33" s="1"/>
      <c r="P33" s="1"/>
    </row>
    <row r="34" spans="1:8" ht="12" customHeight="1">
      <c r="A34" s="103" t="s">
        <v>150</v>
      </c>
      <c r="B34" s="4">
        <v>20</v>
      </c>
      <c r="C34" s="5" t="s">
        <v>151</v>
      </c>
      <c r="D34" s="2" t="s">
        <v>152</v>
      </c>
      <c r="E34" s="6">
        <f aca="true" t="shared" si="0" ref="E34:H55">E$17</f>
        <v>6.56</v>
      </c>
      <c r="F34" s="6">
        <f t="shared" si="0"/>
        <v>6.56</v>
      </c>
      <c r="G34" s="6">
        <f t="shared" si="0"/>
        <v>6.56</v>
      </c>
      <c r="H34" s="6">
        <f t="shared" si="0"/>
        <v>0</v>
      </c>
    </row>
    <row r="35" spans="1:8" ht="12" customHeight="1">
      <c r="A35" s="103"/>
      <c r="B35" s="4">
        <v>30</v>
      </c>
      <c r="C35" s="5" t="s">
        <v>151</v>
      </c>
      <c r="D35" s="2" t="s">
        <v>152</v>
      </c>
      <c r="E35" s="6">
        <f t="shared" si="0"/>
        <v>6.56</v>
      </c>
      <c r="F35" s="6">
        <f t="shared" si="0"/>
        <v>6.56</v>
      </c>
      <c r="G35" s="6">
        <f t="shared" si="0"/>
        <v>6.56</v>
      </c>
      <c r="H35" s="6">
        <f t="shared" si="0"/>
        <v>0</v>
      </c>
    </row>
    <row r="36" spans="1:8" ht="12" customHeight="1">
      <c r="A36" s="103"/>
      <c r="B36" s="4">
        <v>40</v>
      </c>
      <c r="C36" s="5" t="s">
        <v>151</v>
      </c>
      <c r="D36" s="2" t="s">
        <v>152</v>
      </c>
      <c r="E36" s="6">
        <f t="shared" si="0"/>
        <v>6.56</v>
      </c>
      <c r="F36" s="6">
        <f t="shared" si="0"/>
        <v>6.56</v>
      </c>
      <c r="G36" s="6">
        <f t="shared" si="0"/>
        <v>6.56</v>
      </c>
      <c r="H36" s="6">
        <f t="shared" si="0"/>
        <v>0</v>
      </c>
    </row>
    <row r="37" spans="1:8" ht="12" customHeight="1">
      <c r="A37" s="117"/>
      <c r="B37" s="4">
        <v>50</v>
      </c>
      <c r="C37" s="5" t="s">
        <v>151</v>
      </c>
      <c r="D37" s="2" t="s">
        <v>152</v>
      </c>
      <c r="E37" s="6">
        <f t="shared" si="0"/>
        <v>6.56</v>
      </c>
      <c r="F37" s="6">
        <f t="shared" si="0"/>
        <v>6.56</v>
      </c>
      <c r="G37" s="6">
        <f t="shared" si="0"/>
        <v>6.56</v>
      </c>
      <c r="H37" s="6">
        <f t="shared" si="0"/>
        <v>0</v>
      </c>
    </row>
    <row r="38" spans="1:8" ht="12" customHeight="1">
      <c r="A38" s="117"/>
      <c r="B38" s="4">
        <v>70</v>
      </c>
      <c r="C38" s="5" t="s">
        <v>151</v>
      </c>
      <c r="D38" s="2" t="s">
        <v>152</v>
      </c>
      <c r="E38" s="6">
        <f t="shared" si="0"/>
        <v>6.56</v>
      </c>
      <c r="F38" s="6">
        <f t="shared" si="0"/>
        <v>6.56</v>
      </c>
      <c r="G38" s="6">
        <f t="shared" si="0"/>
        <v>6.56</v>
      </c>
      <c r="H38" s="6">
        <f t="shared" si="0"/>
        <v>0</v>
      </c>
    </row>
    <row r="39" spans="1:8" ht="12" customHeight="1">
      <c r="A39" s="117"/>
      <c r="B39" s="4">
        <v>100</v>
      </c>
      <c r="C39" s="5" t="s">
        <v>151</v>
      </c>
      <c r="D39" s="2" t="s">
        <v>152</v>
      </c>
      <c r="E39" s="6">
        <f t="shared" si="0"/>
        <v>6.56</v>
      </c>
      <c r="F39" s="6">
        <f t="shared" si="0"/>
        <v>6.56</v>
      </c>
      <c r="G39" s="6">
        <f t="shared" si="0"/>
        <v>6.56</v>
      </c>
      <c r="H39" s="6">
        <f t="shared" si="0"/>
        <v>0</v>
      </c>
    </row>
    <row r="40" spans="1:8" ht="12" customHeight="1">
      <c r="A40" s="117"/>
      <c r="B40" s="4">
        <v>150</v>
      </c>
      <c r="C40" s="5" t="s">
        <v>151</v>
      </c>
      <c r="D40" s="2" t="s">
        <v>152</v>
      </c>
      <c r="E40" s="6">
        <f t="shared" si="0"/>
        <v>6.56</v>
      </c>
      <c r="F40" s="6">
        <f t="shared" si="0"/>
        <v>6.56</v>
      </c>
      <c r="G40" s="6">
        <f t="shared" si="0"/>
        <v>6.56</v>
      </c>
      <c r="H40" s="6">
        <f t="shared" si="0"/>
        <v>0</v>
      </c>
    </row>
    <row r="41" spans="1:8" ht="12" customHeight="1">
      <c r="A41" s="117"/>
      <c r="B41" s="4">
        <v>200</v>
      </c>
      <c r="C41" s="5" t="s">
        <v>151</v>
      </c>
      <c r="D41" s="2" t="s">
        <v>152</v>
      </c>
      <c r="E41" s="6">
        <f t="shared" si="0"/>
        <v>6.56</v>
      </c>
      <c r="F41" s="6">
        <f t="shared" si="0"/>
        <v>6.56</v>
      </c>
      <c r="G41" s="6">
        <f t="shared" si="0"/>
        <v>6.56</v>
      </c>
      <c r="H41" s="6">
        <f t="shared" si="0"/>
        <v>0</v>
      </c>
    </row>
    <row r="42" spans="1:8" ht="12" customHeight="1">
      <c r="A42" s="117"/>
      <c r="B42" s="4">
        <v>300</v>
      </c>
      <c r="C42" s="5" t="s">
        <v>151</v>
      </c>
      <c r="D42" s="2" t="s">
        <v>152</v>
      </c>
      <c r="E42" s="6">
        <f t="shared" si="0"/>
        <v>6.56</v>
      </c>
      <c r="F42" s="6">
        <f t="shared" si="0"/>
        <v>6.56</v>
      </c>
      <c r="G42" s="6">
        <f t="shared" si="0"/>
        <v>6.56</v>
      </c>
      <c r="H42" s="6">
        <f t="shared" si="0"/>
        <v>0</v>
      </c>
    </row>
    <row r="43" spans="1:8" ht="12" customHeight="1">
      <c r="A43" s="117"/>
      <c r="B43" s="4">
        <v>400</v>
      </c>
      <c r="C43" s="5" t="s">
        <v>151</v>
      </c>
      <c r="D43" s="2" t="s">
        <v>152</v>
      </c>
      <c r="E43" s="6">
        <f t="shared" si="0"/>
        <v>6.56</v>
      </c>
      <c r="F43" s="6">
        <f t="shared" si="0"/>
        <v>6.56</v>
      </c>
      <c r="G43" s="6">
        <f t="shared" si="0"/>
        <v>6.56</v>
      </c>
      <c r="H43" s="6">
        <f t="shared" si="0"/>
        <v>0</v>
      </c>
    </row>
    <row r="44" spans="1:8" ht="12" customHeight="1">
      <c r="A44" s="117"/>
      <c r="B44" s="4">
        <v>500</v>
      </c>
      <c r="C44" s="5" t="s">
        <v>151</v>
      </c>
      <c r="D44" s="2" t="s">
        <v>152</v>
      </c>
      <c r="E44" s="6">
        <f t="shared" si="0"/>
        <v>6.56</v>
      </c>
      <c r="F44" s="6">
        <f t="shared" si="0"/>
        <v>6.56</v>
      </c>
      <c r="G44" s="6">
        <f t="shared" si="0"/>
        <v>6.56</v>
      </c>
      <c r="H44" s="6">
        <f t="shared" si="0"/>
        <v>0</v>
      </c>
    </row>
    <row r="45" spans="1:8" ht="12" customHeight="1">
      <c r="A45" s="117"/>
      <c r="B45" s="4">
        <v>700</v>
      </c>
      <c r="C45" s="5" t="s">
        <v>151</v>
      </c>
      <c r="D45" s="2" t="s">
        <v>152</v>
      </c>
      <c r="E45" s="6">
        <f t="shared" si="0"/>
        <v>6.56</v>
      </c>
      <c r="F45" s="6">
        <f t="shared" si="0"/>
        <v>6.56</v>
      </c>
      <c r="G45" s="6">
        <f t="shared" si="0"/>
        <v>6.56</v>
      </c>
      <c r="H45" s="6">
        <f t="shared" si="0"/>
        <v>0</v>
      </c>
    </row>
    <row r="46" spans="1:8" ht="12" customHeight="1">
      <c r="A46" s="117"/>
      <c r="B46" s="4" t="s">
        <v>153</v>
      </c>
      <c r="C46" s="5" t="s">
        <v>151</v>
      </c>
      <c r="D46" s="2" t="s">
        <v>152</v>
      </c>
      <c r="E46" s="6">
        <f t="shared" si="0"/>
        <v>6.56</v>
      </c>
      <c r="F46" s="6">
        <f t="shared" si="0"/>
        <v>6.56</v>
      </c>
      <c r="G46" s="6">
        <f t="shared" si="0"/>
        <v>6.56</v>
      </c>
      <c r="H46" s="6">
        <f t="shared" si="0"/>
        <v>0</v>
      </c>
    </row>
    <row r="47" spans="1:8" ht="12" customHeight="1">
      <c r="A47" s="117"/>
      <c r="B47" s="4" t="s">
        <v>154</v>
      </c>
      <c r="C47" s="5" t="s">
        <v>151</v>
      </c>
      <c r="D47" s="2" t="s">
        <v>152</v>
      </c>
      <c r="E47" s="6">
        <f t="shared" si="0"/>
        <v>6.56</v>
      </c>
      <c r="F47" s="6">
        <f t="shared" si="0"/>
        <v>6.56</v>
      </c>
      <c r="G47" s="6">
        <f t="shared" si="0"/>
        <v>6.56</v>
      </c>
      <c r="H47" s="6">
        <f t="shared" si="0"/>
        <v>0</v>
      </c>
    </row>
    <row r="48" spans="1:8" ht="12" customHeight="1">
      <c r="A48" s="117"/>
      <c r="B48" s="4" t="s">
        <v>155</v>
      </c>
      <c r="C48" s="5" t="s">
        <v>151</v>
      </c>
      <c r="D48" s="2" t="s">
        <v>152</v>
      </c>
      <c r="E48" s="6">
        <f t="shared" si="0"/>
        <v>6.56</v>
      </c>
      <c r="F48" s="6">
        <f t="shared" si="0"/>
        <v>6.56</v>
      </c>
      <c r="G48" s="6">
        <f t="shared" si="0"/>
        <v>6.56</v>
      </c>
      <c r="H48" s="6">
        <f t="shared" si="0"/>
        <v>0</v>
      </c>
    </row>
    <row r="49" spans="1:8" ht="12" customHeight="1">
      <c r="A49" s="117"/>
      <c r="B49" s="4" t="s">
        <v>156</v>
      </c>
      <c r="C49" s="5" t="s">
        <v>151</v>
      </c>
      <c r="D49" s="2" t="s">
        <v>152</v>
      </c>
      <c r="E49" s="6">
        <f t="shared" si="0"/>
        <v>6.56</v>
      </c>
      <c r="F49" s="6">
        <f t="shared" si="0"/>
        <v>6.56</v>
      </c>
      <c r="G49" s="6">
        <f t="shared" si="0"/>
        <v>6.56</v>
      </c>
      <c r="H49" s="6">
        <f t="shared" si="0"/>
        <v>0</v>
      </c>
    </row>
    <row r="50" spans="1:8" ht="12" customHeight="1">
      <c r="A50" s="117"/>
      <c r="B50" s="4" t="s">
        <v>157</v>
      </c>
      <c r="C50" s="5" t="s">
        <v>151</v>
      </c>
      <c r="D50" s="2" t="s">
        <v>152</v>
      </c>
      <c r="E50" s="6">
        <f t="shared" si="0"/>
        <v>6.56</v>
      </c>
      <c r="F50" s="6">
        <f t="shared" si="0"/>
        <v>6.56</v>
      </c>
      <c r="G50" s="6">
        <f t="shared" si="0"/>
        <v>6.56</v>
      </c>
      <c r="H50" s="6">
        <f t="shared" si="0"/>
        <v>0</v>
      </c>
    </row>
    <row r="51" spans="1:8" ht="12" customHeight="1">
      <c r="A51" s="117"/>
      <c r="B51" s="4" t="s">
        <v>158</v>
      </c>
      <c r="C51" s="5" t="s">
        <v>151</v>
      </c>
      <c r="D51" s="2" t="s">
        <v>152</v>
      </c>
      <c r="E51" s="6">
        <f t="shared" si="0"/>
        <v>6.56</v>
      </c>
      <c r="F51" s="6">
        <f t="shared" si="0"/>
        <v>6.56</v>
      </c>
      <c r="G51" s="6">
        <f t="shared" si="0"/>
        <v>6.56</v>
      </c>
      <c r="H51" s="6">
        <f t="shared" si="0"/>
        <v>0</v>
      </c>
    </row>
    <row r="52" spans="1:8" ht="12" customHeight="1">
      <c r="A52" s="117"/>
      <c r="B52" s="4" t="s">
        <v>159</v>
      </c>
      <c r="C52" s="5" t="s">
        <v>151</v>
      </c>
      <c r="D52" s="2" t="s">
        <v>152</v>
      </c>
      <c r="E52" s="6">
        <f t="shared" si="0"/>
        <v>6.56</v>
      </c>
      <c r="F52" s="6">
        <f t="shared" si="0"/>
        <v>6.56</v>
      </c>
      <c r="G52" s="6">
        <f t="shared" si="0"/>
        <v>6.56</v>
      </c>
      <c r="H52" s="6">
        <f t="shared" si="0"/>
        <v>0</v>
      </c>
    </row>
    <row r="53" spans="1:8" ht="12" customHeight="1">
      <c r="A53" s="117"/>
      <c r="B53" s="4" t="s">
        <v>160</v>
      </c>
      <c r="C53" s="5" t="s">
        <v>151</v>
      </c>
      <c r="D53" s="2" t="s">
        <v>152</v>
      </c>
      <c r="E53" s="6">
        <f t="shared" si="0"/>
        <v>6.56</v>
      </c>
      <c r="F53" s="6">
        <f t="shared" si="0"/>
        <v>6.56</v>
      </c>
      <c r="G53" s="6">
        <f t="shared" si="0"/>
        <v>6.56</v>
      </c>
      <c r="H53" s="6">
        <f t="shared" si="0"/>
        <v>0</v>
      </c>
    </row>
    <row r="54" spans="1:8" ht="12" customHeight="1">
      <c r="A54" s="117"/>
      <c r="B54" s="4" t="s">
        <v>161</v>
      </c>
      <c r="C54" s="5" t="s">
        <v>151</v>
      </c>
      <c r="D54" s="2" t="s">
        <v>152</v>
      </c>
      <c r="E54" s="6">
        <f t="shared" si="0"/>
        <v>6.56</v>
      </c>
      <c r="F54" s="6">
        <f t="shared" si="0"/>
        <v>6.56</v>
      </c>
      <c r="G54" s="6">
        <f t="shared" si="0"/>
        <v>6.56</v>
      </c>
      <c r="H54" s="6">
        <f t="shared" si="0"/>
        <v>0</v>
      </c>
    </row>
    <row r="55" spans="1:8" ht="12" customHeight="1">
      <c r="A55" s="117"/>
      <c r="B55" s="4" t="s">
        <v>162</v>
      </c>
      <c r="C55" s="5" t="s">
        <v>151</v>
      </c>
      <c r="D55" s="2" t="s">
        <v>152</v>
      </c>
      <c r="E55" s="6">
        <f t="shared" si="0"/>
        <v>6.56</v>
      </c>
      <c r="F55" s="6">
        <f t="shared" si="0"/>
        <v>6.56</v>
      </c>
      <c r="G55" s="6">
        <f t="shared" si="0"/>
        <v>6.56</v>
      </c>
      <c r="H55" s="6">
        <f t="shared" si="0"/>
        <v>0</v>
      </c>
    </row>
    <row r="56" spans="1:8" ht="12" customHeight="1">
      <c r="A56" s="96" t="s">
        <v>163</v>
      </c>
      <c r="B56" s="4">
        <v>20</v>
      </c>
      <c r="C56" s="5" t="s">
        <v>151</v>
      </c>
      <c r="D56" s="2" t="s">
        <v>164</v>
      </c>
      <c r="E56" s="14">
        <f>IF(E$31="","",E$33+IF(E$21=0,0,20*LOG(E166/((E$31^2+E166^2)^0.5))))</f>
        <v>-0.0011785479770708232</v>
      </c>
      <c r="F56" s="54">
        <f>IF(F$31="","",F$33+IF(F$20=0,0,20*LOG(F100/((F$31^2+F100^2)^0.5)))+IF(F$21=0,0,20*LOG(F166/((F$31^2+F166^2)^0.5)))+$F$18-$E$18)</f>
        <v>-4</v>
      </c>
      <c r="G56" s="54">
        <f>IF(G$31="","",G$33+IF(G$20=0,0,20*LOG(G100/((G$31^2+G100^2)^0.5)))+IF(G$21=0,0,20*LOG(G166/((G$31^2+G166^2)^0.5)))+$G$18-$E$18)</f>
        <v>-50.84763527354046</v>
      </c>
      <c r="H56" s="14">
        <f>IF(H$31="","",H$33+IF(H$20=0,0,20*LOG(H100/((H$31^2+H100^2)^0.5)))+$H$18-$E$18)</f>
      </c>
    </row>
    <row r="57" spans="1:8" ht="12" customHeight="1">
      <c r="A57" s="97"/>
      <c r="B57" s="4">
        <v>30</v>
      </c>
      <c r="C57" s="5" t="s">
        <v>151</v>
      </c>
      <c r="D57" s="2" t="s">
        <v>164</v>
      </c>
      <c r="E57" s="14">
        <f aca="true" t="shared" si="1" ref="E57:E77">IF(E$31="","",E$33+IF(E$21=0,0,20*LOG(E167/((E$31^2+E167^2)^0.5))))</f>
        <v>-0.002651283339108628</v>
      </c>
      <c r="F57" s="54">
        <f aca="true" t="shared" si="2" ref="F57:F77">IF(F$31="","",F$33+IF(F$20=0,0,20*LOG(F101/((F$31^2+F101^2)^0.5)))+IF(F$21=0,0,20*LOG(F167/((F$31^2+F167^2)^0.5)))+$F$18-$E$18)</f>
        <v>-4</v>
      </c>
      <c r="G57" s="54">
        <f aca="true" t="shared" si="3" ref="G57:G77">IF(G$31="","",G$33+IF(G$20=0,0,20*LOG(G101/((G$31^2+G101^2)^0.5)))+IF(G$21=0,0,20*LOG(G167/((G$31^2+G167^2)^0.5)))+$G$18-$E$18)</f>
        <v>-47.32581386233359</v>
      </c>
      <c r="H57" s="14">
        <f aca="true" t="shared" si="4" ref="H57:H77">IF(H$31="","",H$33+IF(H$20=0,0,20*LOG(H101/((H$31^2+H101^2)^0.5)))+$H$18-$E$18)</f>
      </c>
    </row>
    <row r="58" spans="1:8" ht="12" customHeight="1">
      <c r="A58" s="97"/>
      <c r="B58" s="4">
        <v>40</v>
      </c>
      <c r="C58" s="5" t="s">
        <v>151</v>
      </c>
      <c r="D58" s="2" t="s">
        <v>164</v>
      </c>
      <c r="E58" s="14">
        <f t="shared" si="1"/>
        <v>-0.004712274182155034</v>
      </c>
      <c r="F58" s="54">
        <f t="shared" si="2"/>
        <v>-4</v>
      </c>
      <c r="G58" s="54">
        <f t="shared" si="3"/>
        <v>-44.827044408031554</v>
      </c>
      <c r="H58" s="14">
        <f t="shared" si="4"/>
      </c>
    </row>
    <row r="59" spans="1:8" ht="12" customHeight="1">
      <c r="A59" s="97"/>
      <c r="B59" s="4">
        <v>50</v>
      </c>
      <c r="C59" s="5" t="s">
        <v>151</v>
      </c>
      <c r="D59" s="2" t="s">
        <v>164</v>
      </c>
      <c r="E59" s="14">
        <f t="shared" si="1"/>
        <v>-0.007360683206158585</v>
      </c>
      <c r="F59" s="54">
        <f t="shared" si="2"/>
        <v>-4</v>
      </c>
      <c r="G59" s="54">
        <f t="shared" si="3"/>
        <v>-42.888850933686086</v>
      </c>
      <c r="H59" s="14">
        <f t="shared" si="4"/>
      </c>
    </row>
    <row r="60" spans="1:8" ht="12" customHeight="1">
      <c r="A60" s="97"/>
      <c r="B60" s="4">
        <v>70</v>
      </c>
      <c r="C60" s="5" t="s">
        <v>151</v>
      </c>
      <c r="D60" s="2" t="s">
        <v>164</v>
      </c>
      <c r="E60" s="14">
        <f t="shared" si="1"/>
        <v>-0.014415221623610334</v>
      </c>
      <c r="F60" s="54">
        <f t="shared" si="2"/>
        <v>-4</v>
      </c>
      <c r="G60" s="54">
        <f t="shared" si="3"/>
        <v>-39.96630831557793</v>
      </c>
      <c r="H60" s="14">
        <f t="shared" si="4"/>
      </c>
    </row>
    <row r="61" spans="1:8" ht="12" customHeight="1">
      <c r="A61" s="97"/>
      <c r="B61" s="4">
        <v>100</v>
      </c>
      <c r="C61" s="5" t="s">
        <v>151</v>
      </c>
      <c r="D61" s="2" t="s">
        <v>164</v>
      </c>
      <c r="E61" s="14">
        <f t="shared" si="1"/>
        <v>-0.029368175575114126</v>
      </c>
      <c r="F61" s="54">
        <f t="shared" si="2"/>
        <v>-4</v>
      </c>
      <c r="G61" s="54">
        <f t="shared" si="3"/>
        <v>-36.86830756845802</v>
      </c>
      <c r="H61" s="14">
        <f t="shared" si="4"/>
      </c>
    </row>
    <row r="62" spans="1:8" ht="12" customHeight="1">
      <c r="A62" s="97"/>
      <c r="B62" s="4">
        <v>150</v>
      </c>
      <c r="C62" s="5" t="s">
        <v>151</v>
      </c>
      <c r="D62" s="2" t="s">
        <v>164</v>
      </c>
      <c r="E62" s="14">
        <f t="shared" si="1"/>
        <v>-0.06580130442000891</v>
      </c>
      <c r="F62" s="54">
        <f t="shared" si="2"/>
        <v>-4</v>
      </c>
      <c r="G62" s="54">
        <f t="shared" si="3"/>
        <v>-33.346576632460796</v>
      </c>
      <c r="H62" s="14">
        <f t="shared" si="4"/>
      </c>
    </row>
    <row r="63" spans="1:8" ht="12" customHeight="1">
      <c r="A63" s="97"/>
      <c r="B63" s="4">
        <v>200</v>
      </c>
      <c r="C63" s="5" t="s">
        <v>151</v>
      </c>
      <c r="D63" s="2" t="s">
        <v>164</v>
      </c>
      <c r="E63" s="14">
        <f t="shared" si="1"/>
        <v>-0.11629960474057253</v>
      </c>
      <c r="F63" s="54">
        <f t="shared" si="2"/>
        <v>-4</v>
      </c>
      <c r="G63" s="54">
        <f t="shared" si="3"/>
        <v>-30.847933840021952</v>
      </c>
      <c r="H63" s="14">
        <f t="shared" si="4"/>
      </c>
    </row>
    <row r="64" spans="1:8" ht="12" customHeight="1">
      <c r="A64" s="97"/>
      <c r="B64" s="4">
        <v>300</v>
      </c>
      <c r="C64" s="5" t="s">
        <v>151</v>
      </c>
      <c r="D64" s="2" t="s">
        <v>164</v>
      </c>
      <c r="E64" s="14">
        <f t="shared" si="1"/>
        <v>-0.25742682220211904</v>
      </c>
      <c r="F64" s="54">
        <f t="shared" si="2"/>
        <v>-4</v>
      </c>
      <c r="G64" s="54">
        <f t="shared" si="3"/>
        <v>-27.326485607471938</v>
      </c>
      <c r="H64" s="14">
        <f t="shared" si="4"/>
      </c>
    </row>
    <row r="65" spans="1:8" ht="12" customHeight="1">
      <c r="A65" s="97"/>
      <c r="B65" s="4">
        <v>400</v>
      </c>
      <c r="C65" s="5" t="s">
        <v>151</v>
      </c>
      <c r="D65" s="2" t="s">
        <v>164</v>
      </c>
      <c r="E65" s="14">
        <f t="shared" si="1"/>
        <v>-0.4476038312038132</v>
      </c>
      <c r="F65" s="54">
        <f t="shared" si="2"/>
        <v>-4</v>
      </c>
      <c r="G65" s="54">
        <f t="shared" si="3"/>
        <v>-24.828238548335662</v>
      </c>
      <c r="H65" s="14">
        <f t="shared" si="4"/>
      </c>
    </row>
    <row r="66" spans="1:8" ht="12" customHeight="1">
      <c r="A66" s="97"/>
      <c r="B66" s="4">
        <v>500</v>
      </c>
      <c r="C66" s="5" t="s">
        <v>151</v>
      </c>
      <c r="D66" s="2" t="s">
        <v>164</v>
      </c>
      <c r="E66" s="14">
        <f t="shared" si="1"/>
        <v>-0.6804838873262724</v>
      </c>
      <c r="F66" s="54">
        <f t="shared" si="2"/>
        <v>-4</v>
      </c>
      <c r="G66" s="54">
        <f t="shared" si="3"/>
        <v>-22.890716630733948</v>
      </c>
      <c r="H66" s="14">
        <f t="shared" si="4"/>
      </c>
    </row>
    <row r="67" spans="1:8" ht="12" customHeight="1">
      <c r="A67" s="97"/>
      <c r="B67" s="4">
        <v>700</v>
      </c>
      <c r="C67" s="5" t="s">
        <v>151</v>
      </c>
      <c r="D67" s="2" t="s">
        <v>164</v>
      </c>
      <c r="E67" s="14">
        <f t="shared" si="1"/>
        <v>-1.246588145501947</v>
      </c>
      <c r="F67" s="54">
        <f t="shared" si="2"/>
        <v>-4</v>
      </c>
      <c r="G67" s="54">
        <f t="shared" si="3"/>
        <v>-19.96996431283857</v>
      </c>
      <c r="H67" s="14">
        <f t="shared" si="4"/>
      </c>
    </row>
    <row r="68" spans="1:8" ht="12" customHeight="1">
      <c r="A68" s="97"/>
      <c r="B68" s="4" t="s">
        <v>153</v>
      </c>
      <c r="C68" s="5" t="s">
        <v>151</v>
      </c>
      <c r="D68" s="2" t="s">
        <v>164</v>
      </c>
      <c r="E68" s="14">
        <f t="shared" si="1"/>
        <v>-2.2492621290057</v>
      </c>
      <c r="F68" s="54">
        <f t="shared" si="2"/>
        <v>-4</v>
      </c>
      <c r="G68" s="54">
        <f t="shared" si="3"/>
        <v>-16.875765455502346</v>
      </c>
      <c r="H68" s="14">
        <f t="shared" si="4"/>
      </c>
    </row>
    <row r="69" spans="1:8" ht="12" customHeight="1">
      <c r="A69" s="97"/>
      <c r="B69" s="4" t="s">
        <v>154</v>
      </c>
      <c r="C69" s="5" t="s">
        <v>151</v>
      </c>
      <c r="D69" s="2" t="s">
        <v>164</v>
      </c>
      <c r="E69" s="14">
        <f t="shared" si="1"/>
        <v>-4.0254806431432275</v>
      </c>
      <c r="F69" s="54">
        <f t="shared" si="2"/>
        <v>-4</v>
      </c>
      <c r="G69" s="54">
        <f t="shared" si="3"/>
        <v>-13.363338541425861</v>
      </c>
      <c r="H69" s="14">
        <f t="shared" si="4"/>
      </c>
    </row>
    <row r="70" spans="1:8" ht="12" customHeight="1">
      <c r="A70" s="97"/>
      <c r="B70" s="4" t="s">
        <v>155</v>
      </c>
      <c r="C70" s="5" t="s">
        <v>151</v>
      </c>
      <c r="D70" s="2" t="s">
        <v>164</v>
      </c>
      <c r="E70" s="14">
        <f t="shared" si="1"/>
        <v>-5.6985069827703105</v>
      </c>
      <c r="F70" s="54">
        <f t="shared" si="2"/>
        <v>-4</v>
      </c>
      <c r="G70" s="54">
        <f t="shared" si="3"/>
        <v>-10.877687308412334</v>
      </c>
      <c r="H70" s="14">
        <f t="shared" si="4"/>
      </c>
    </row>
    <row r="71" spans="1:8" ht="12" customHeight="1">
      <c r="A71" s="97"/>
      <c r="B71" s="4" t="s">
        <v>156</v>
      </c>
      <c r="C71" s="5" t="s">
        <v>151</v>
      </c>
      <c r="D71" s="2" t="s">
        <v>164</v>
      </c>
      <c r="E71" s="14">
        <f t="shared" si="1"/>
        <v>-8.516661069081547</v>
      </c>
      <c r="F71" s="54">
        <f t="shared" si="2"/>
        <v>-4</v>
      </c>
      <c r="G71" s="54">
        <f t="shared" si="3"/>
        <v>-7.39314079021716</v>
      </c>
      <c r="H71" s="14">
        <f t="shared" si="4"/>
      </c>
    </row>
    <row r="72" spans="1:8" ht="12" customHeight="1">
      <c r="A72" s="97"/>
      <c r="B72" s="4" t="s">
        <v>157</v>
      </c>
      <c r="C72" s="5" t="s">
        <v>151</v>
      </c>
      <c r="D72" s="2" t="s">
        <v>164</v>
      </c>
      <c r="E72" s="14">
        <f t="shared" si="1"/>
        <v>-10.739492159158058</v>
      </c>
      <c r="F72" s="54">
        <f t="shared" si="2"/>
        <v>-4</v>
      </c>
      <c r="G72" s="54">
        <f t="shared" si="3"/>
        <v>-4.9460243790422</v>
      </c>
      <c r="H72" s="14">
        <f t="shared" si="4"/>
      </c>
    </row>
    <row r="73" spans="1:8" ht="12" customHeight="1">
      <c r="A73" s="97"/>
      <c r="B73" s="4" t="s">
        <v>158</v>
      </c>
      <c r="C73" s="5" t="s">
        <v>151</v>
      </c>
      <c r="D73" s="2" t="s">
        <v>164</v>
      </c>
      <c r="E73" s="14">
        <f t="shared" si="1"/>
        <v>-12.543781516776226</v>
      </c>
      <c r="F73" s="54">
        <f t="shared" si="2"/>
        <v>-4</v>
      </c>
      <c r="G73" s="54">
        <f t="shared" si="3"/>
        <v>-3.0733516647819386</v>
      </c>
      <c r="H73" s="14">
        <f t="shared" si="4"/>
      </c>
    </row>
    <row r="74" spans="1:8" ht="12" customHeight="1">
      <c r="A74" s="97"/>
      <c r="B74" s="4" t="s">
        <v>159</v>
      </c>
      <c r="C74" s="5" t="s">
        <v>151</v>
      </c>
      <c r="D74" s="2" t="s">
        <v>164</v>
      </c>
      <c r="E74" s="14">
        <f t="shared" si="1"/>
        <v>-15.346278823732696</v>
      </c>
      <c r="F74" s="54">
        <f t="shared" si="2"/>
        <v>-4</v>
      </c>
      <c r="G74" s="54">
        <f t="shared" si="3"/>
        <v>-0.32084613462211564</v>
      </c>
      <c r="H74" s="14">
        <f t="shared" si="4"/>
      </c>
    </row>
    <row r="75" spans="1:8" ht="12" customHeight="1">
      <c r="A75" s="97"/>
      <c r="B75" s="4" t="s">
        <v>160</v>
      </c>
      <c r="C75" s="5" t="s">
        <v>151</v>
      </c>
      <c r="D75" s="2" t="s">
        <v>164</v>
      </c>
      <c r="E75" s="14">
        <f t="shared" si="1"/>
        <v>-18.379158105696774</v>
      </c>
      <c r="F75" s="54">
        <f t="shared" si="2"/>
        <v>-4</v>
      </c>
      <c r="G75" s="54">
        <f t="shared" si="3"/>
        <v>2.4365267892274147</v>
      </c>
      <c r="H75" s="14">
        <f t="shared" si="4"/>
      </c>
    </row>
    <row r="76" spans="1:8" ht="12" customHeight="1">
      <c r="A76" s="97"/>
      <c r="B76" s="4" t="s">
        <v>161</v>
      </c>
      <c r="C76" s="5" t="s">
        <v>151</v>
      </c>
      <c r="D76" s="2" t="s">
        <v>164</v>
      </c>
      <c r="E76" s="14">
        <f t="shared" si="1"/>
        <v>-21.86579857131281</v>
      </c>
      <c r="F76" s="54">
        <f t="shared" si="2"/>
        <v>-4</v>
      </c>
      <c r="G76" s="54">
        <f t="shared" si="3"/>
        <v>5.221494744469396</v>
      </c>
      <c r="H76" s="14">
        <f t="shared" si="4"/>
      </c>
    </row>
    <row r="77" spans="1:8" ht="12" customHeight="1">
      <c r="A77" s="98"/>
      <c r="B77" s="4" t="s">
        <v>162</v>
      </c>
      <c r="C77" s="5" t="s">
        <v>151</v>
      </c>
      <c r="D77" s="2" t="s">
        <v>164</v>
      </c>
      <c r="E77" s="14">
        <f t="shared" si="1"/>
        <v>-24.352190998982408</v>
      </c>
      <c r="F77" s="54">
        <f t="shared" si="2"/>
        <v>-4</v>
      </c>
      <c r="G77" s="54">
        <f t="shared" si="3"/>
        <v>6.8620974067789575</v>
      </c>
      <c r="H77" s="14">
        <f t="shared" si="4"/>
      </c>
    </row>
    <row r="78" spans="1:8" ht="12" customHeight="1">
      <c r="A78" s="96" t="s">
        <v>165</v>
      </c>
      <c r="B78" s="4">
        <v>20</v>
      </c>
      <c r="C78" s="5" t="s">
        <v>151</v>
      </c>
      <c r="D78" s="2" t="s">
        <v>166</v>
      </c>
      <c r="E78" s="30">
        <f aca="true" t="shared" si="5" ref="E78:E99">IF(E144="",0,180/PI()*ATAN(-E144/E$31))+IF(E$19=1,180,0)</f>
        <v>-0.9438311114304587</v>
      </c>
      <c r="F78" s="30">
        <f aca="true" t="shared" si="6" ref="F78:F99">IF(F122="",0,180/PI()*ATAN(F122/F$31))+IF(F144="",0,180/PI()*ATAN(-F144/F$31))+IF(F$19=1,180,0)</f>
        <v>180</v>
      </c>
      <c r="G78" s="30">
        <f aca="true" t="shared" si="7" ref="G78:G99">IF(G122="",0,180/PI()*ATAN(G122/G$31))+IF(G144="",0,180/PI()*ATAN(-G144/G$31))+IF(G$19=1,-180,0)</f>
        <v>89.95225356845455</v>
      </c>
      <c r="H78" s="30">
        <f aca="true" t="shared" si="8" ref="H78:H99">IF(H122="",0,180/PI()*ATAN(H122/H$31))+IF(H$19=1,-180,0)</f>
        <v>0</v>
      </c>
    </row>
    <row r="79" spans="1:8" ht="12" customHeight="1">
      <c r="A79" s="97"/>
      <c r="B79" s="4">
        <v>30</v>
      </c>
      <c r="C79" s="5" t="s">
        <v>151</v>
      </c>
      <c r="D79" s="2" t="s">
        <v>166</v>
      </c>
      <c r="E79" s="30">
        <f t="shared" si="5"/>
        <v>-1.415586635570094</v>
      </c>
      <c r="F79" s="30">
        <f t="shared" si="6"/>
        <v>180</v>
      </c>
      <c r="G79" s="30">
        <f t="shared" si="7"/>
        <v>89.92838037340506</v>
      </c>
      <c r="H79" s="30">
        <f t="shared" si="8"/>
        <v>0</v>
      </c>
    </row>
    <row r="80" spans="1:8" ht="12" customHeight="1">
      <c r="A80" s="97"/>
      <c r="B80" s="4">
        <v>40</v>
      </c>
      <c r="C80" s="5" t="s">
        <v>151</v>
      </c>
      <c r="D80" s="2" t="s">
        <v>166</v>
      </c>
      <c r="E80" s="30">
        <f t="shared" si="5"/>
        <v>-1.8871502676287346</v>
      </c>
      <c r="F80" s="30">
        <f t="shared" si="6"/>
        <v>180</v>
      </c>
      <c r="G80" s="30">
        <f t="shared" si="7"/>
        <v>89.90450720322336</v>
      </c>
      <c r="H80" s="30">
        <f t="shared" si="8"/>
        <v>0</v>
      </c>
    </row>
    <row r="81" spans="1:8" ht="12" customHeight="1">
      <c r="A81" s="97"/>
      <c r="B81" s="4">
        <v>50</v>
      </c>
      <c r="C81" s="5" t="s">
        <v>151</v>
      </c>
      <c r="D81" s="2" t="s">
        <v>166</v>
      </c>
      <c r="E81" s="30">
        <f t="shared" si="5"/>
        <v>-2.3584582862780317</v>
      </c>
      <c r="F81" s="30">
        <f t="shared" si="6"/>
        <v>180</v>
      </c>
      <c r="G81" s="30">
        <f t="shared" si="7"/>
        <v>89.88063406619868</v>
      </c>
      <c r="H81" s="30">
        <f t="shared" si="8"/>
        <v>0</v>
      </c>
    </row>
    <row r="82" spans="1:8" ht="12" customHeight="1">
      <c r="A82" s="97"/>
      <c r="B82" s="4">
        <v>70</v>
      </c>
      <c r="C82" s="5" t="s">
        <v>151</v>
      </c>
      <c r="D82" s="2" t="s">
        <v>166</v>
      </c>
      <c r="E82" s="30">
        <f t="shared" si="5"/>
        <v>-3.3000536860620713</v>
      </c>
      <c r="F82" s="30">
        <f t="shared" si="6"/>
        <v>180</v>
      </c>
      <c r="G82" s="30">
        <f t="shared" si="7"/>
        <v>89.83288792477673</v>
      </c>
      <c r="H82" s="30">
        <f t="shared" si="8"/>
        <v>0</v>
      </c>
    </row>
    <row r="83" spans="1:8" ht="12" customHeight="1">
      <c r="A83" s="97"/>
      <c r="B83" s="4">
        <v>100</v>
      </c>
      <c r="C83" s="5" t="s">
        <v>151</v>
      </c>
      <c r="D83" s="2" t="s">
        <v>166</v>
      </c>
      <c r="E83" s="30">
        <f t="shared" si="5"/>
        <v>-4.708951293331973</v>
      </c>
      <c r="F83" s="30">
        <f t="shared" si="6"/>
        <v>180</v>
      </c>
      <c r="G83" s="30">
        <f t="shared" si="7"/>
        <v>89.76126916854624</v>
      </c>
      <c r="H83" s="30">
        <f t="shared" si="8"/>
        <v>0</v>
      </c>
    </row>
    <row r="84" spans="1:8" ht="12" customHeight="1">
      <c r="A84" s="97"/>
      <c r="B84" s="4">
        <v>150</v>
      </c>
      <c r="C84" s="5" t="s">
        <v>151</v>
      </c>
      <c r="D84" s="2" t="s">
        <v>166</v>
      </c>
      <c r="E84" s="30">
        <f t="shared" si="5"/>
        <v>-7.043673978252066</v>
      </c>
      <c r="F84" s="30">
        <f t="shared" si="6"/>
        <v>180</v>
      </c>
      <c r="G84" s="30">
        <f t="shared" si="7"/>
        <v>89.64190634313758</v>
      </c>
      <c r="H84" s="30">
        <f t="shared" si="8"/>
        <v>0</v>
      </c>
    </row>
    <row r="85" spans="1:8" ht="12" customHeight="1">
      <c r="A85" s="97"/>
      <c r="B85" s="4">
        <v>200</v>
      </c>
      <c r="C85" s="5" t="s">
        <v>151</v>
      </c>
      <c r="D85" s="2" t="s">
        <v>166</v>
      </c>
      <c r="E85" s="30">
        <f t="shared" si="5"/>
        <v>-9.355133796716258</v>
      </c>
      <c r="F85" s="30">
        <f t="shared" si="6"/>
        <v>180</v>
      </c>
      <c r="G85" s="30">
        <f t="shared" si="7"/>
        <v>89.5225466259597</v>
      </c>
      <c r="H85" s="30">
        <f t="shared" si="8"/>
        <v>0</v>
      </c>
    </row>
    <row r="86" spans="1:8" ht="12" customHeight="1">
      <c r="A86" s="97"/>
      <c r="B86" s="4">
        <v>300</v>
      </c>
      <c r="C86" s="5" t="s">
        <v>151</v>
      </c>
      <c r="D86" s="2" t="s">
        <v>166</v>
      </c>
      <c r="E86" s="30">
        <f t="shared" si="5"/>
        <v>-13.880658313607903</v>
      </c>
      <c r="F86" s="30">
        <f t="shared" si="6"/>
        <v>180</v>
      </c>
      <c r="G86" s="30">
        <f t="shared" si="7"/>
        <v>89.28384065938101</v>
      </c>
      <c r="H86" s="30">
        <f t="shared" si="8"/>
        <v>0</v>
      </c>
    </row>
    <row r="87" spans="1:8" ht="12" customHeight="1">
      <c r="A87" s="97"/>
      <c r="B87" s="4">
        <v>400</v>
      </c>
      <c r="C87" s="5" t="s">
        <v>151</v>
      </c>
      <c r="D87" s="2" t="s">
        <v>166</v>
      </c>
      <c r="E87" s="30">
        <f t="shared" si="5"/>
        <v>-18.2364837445748</v>
      </c>
      <c r="F87" s="30">
        <f t="shared" si="6"/>
        <v>180</v>
      </c>
      <c r="G87" s="30">
        <f t="shared" si="7"/>
        <v>89.0451595524984</v>
      </c>
      <c r="H87" s="30">
        <f t="shared" si="8"/>
        <v>0</v>
      </c>
    </row>
    <row r="88" spans="1:8" ht="12" customHeight="1">
      <c r="A88" s="97"/>
      <c r="B88" s="4">
        <v>500</v>
      </c>
      <c r="C88" s="5" t="s">
        <v>151</v>
      </c>
      <c r="D88" s="2" t="s">
        <v>166</v>
      </c>
      <c r="E88" s="30">
        <f t="shared" si="5"/>
        <v>-22.384865361410117</v>
      </c>
      <c r="F88" s="30">
        <f t="shared" si="6"/>
        <v>180</v>
      </c>
      <c r="G88" s="30">
        <f t="shared" si="7"/>
        <v>88.80651158382376</v>
      </c>
      <c r="H88" s="30">
        <f t="shared" si="8"/>
        <v>0</v>
      </c>
    </row>
    <row r="89" spans="1:8" ht="12" customHeight="1">
      <c r="A89" s="97"/>
      <c r="B89" s="4">
        <v>700</v>
      </c>
      <c r="C89" s="5" t="s">
        <v>151</v>
      </c>
      <c r="D89" s="2" t="s">
        <v>166</v>
      </c>
      <c r="E89" s="30">
        <f t="shared" si="5"/>
        <v>-29.967997330370945</v>
      </c>
      <c r="F89" s="30">
        <f t="shared" si="6"/>
        <v>180</v>
      </c>
      <c r="G89" s="30">
        <f t="shared" si="7"/>
        <v>88.32934813894077</v>
      </c>
      <c r="H89" s="30">
        <f t="shared" si="8"/>
        <v>0</v>
      </c>
    </row>
    <row r="90" spans="1:8" ht="12" customHeight="1">
      <c r="A90" s="97"/>
      <c r="B90" s="4" t="s">
        <v>153</v>
      </c>
      <c r="C90" s="5" t="s">
        <v>151</v>
      </c>
      <c r="D90" s="2" t="s">
        <v>166</v>
      </c>
      <c r="E90" s="30">
        <f t="shared" si="5"/>
        <v>-39.47905262126773</v>
      </c>
      <c r="F90" s="30">
        <f t="shared" si="6"/>
        <v>180</v>
      </c>
      <c r="G90" s="30">
        <f t="shared" si="7"/>
        <v>87.61405798260286</v>
      </c>
      <c r="H90" s="30">
        <f t="shared" si="8"/>
        <v>0</v>
      </c>
    </row>
    <row r="91" spans="1:8" ht="12" customHeight="1">
      <c r="A91" s="97"/>
      <c r="B91" s="4" t="s">
        <v>154</v>
      </c>
      <c r="C91" s="5" t="s">
        <v>151</v>
      </c>
      <c r="D91" s="2" t="s">
        <v>166</v>
      </c>
      <c r="E91" s="30">
        <f t="shared" si="5"/>
        <v>-51.01557584434635</v>
      </c>
      <c r="F91" s="30">
        <f t="shared" si="6"/>
        <v>180</v>
      </c>
      <c r="G91" s="30">
        <f t="shared" si="7"/>
        <v>86.42366863796295</v>
      </c>
      <c r="H91" s="30">
        <f t="shared" si="8"/>
        <v>0</v>
      </c>
    </row>
    <row r="92" spans="1:8" ht="12" customHeight="1">
      <c r="A92" s="97"/>
      <c r="B92" s="4" t="s">
        <v>155</v>
      </c>
      <c r="C92" s="5" t="s">
        <v>151</v>
      </c>
      <c r="D92" s="2" t="s">
        <v>166</v>
      </c>
      <c r="E92" s="30">
        <f t="shared" si="5"/>
        <v>-58.74222776520413</v>
      </c>
      <c r="F92" s="30">
        <f t="shared" si="6"/>
        <v>180</v>
      </c>
      <c r="G92" s="30">
        <f t="shared" si="7"/>
        <v>85.23636231443312</v>
      </c>
      <c r="H92" s="30">
        <f t="shared" si="8"/>
        <v>0</v>
      </c>
    </row>
    <row r="93" spans="1:8" ht="12" customHeight="1">
      <c r="A93" s="97"/>
      <c r="B93" s="4" t="s">
        <v>156</v>
      </c>
      <c r="C93" s="5" t="s">
        <v>151</v>
      </c>
      <c r="D93" s="2" t="s">
        <v>166</v>
      </c>
      <c r="E93" s="30">
        <f t="shared" si="5"/>
        <v>-67.96844498439292</v>
      </c>
      <c r="F93" s="30">
        <f t="shared" si="6"/>
        <v>180</v>
      </c>
      <c r="G93" s="30">
        <f t="shared" si="7"/>
        <v>82.874989607489</v>
      </c>
      <c r="H93" s="30">
        <f t="shared" si="8"/>
        <v>0</v>
      </c>
    </row>
    <row r="94" spans="1:8" ht="12" customHeight="1">
      <c r="A94" s="97"/>
      <c r="B94" s="4" t="s">
        <v>157</v>
      </c>
      <c r="C94" s="5" t="s">
        <v>151</v>
      </c>
      <c r="D94" s="2" t="s">
        <v>166</v>
      </c>
      <c r="E94" s="30">
        <f t="shared" si="5"/>
        <v>-73.11694272881599</v>
      </c>
      <c r="F94" s="30">
        <f t="shared" si="6"/>
        <v>180</v>
      </c>
      <c r="G94" s="30">
        <f t="shared" si="7"/>
        <v>80.5376856399218</v>
      </c>
      <c r="H94" s="30">
        <f t="shared" si="8"/>
        <v>0</v>
      </c>
    </row>
    <row r="95" spans="1:8" ht="12" customHeight="1">
      <c r="A95" s="97"/>
      <c r="B95" s="4" t="s">
        <v>158</v>
      </c>
      <c r="C95" s="5" t="s">
        <v>151</v>
      </c>
      <c r="D95" s="2" t="s">
        <v>166</v>
      </c>
      <c r="E95" s="30">
        <f t="shared" si="5"/>
        <v>-76.35266150691375</v>
      </c>
      <c r="F95" s="30">
        <f t="shared" si="6"/>
        <v>180</v>
      </c>
      <c r="G95" s="30">
        <f t="shared" si="7"/>
        <v>78.23172073100957</v>
      </c>
      <c r="H95" s="30">
        <f t="shared" si="8"/>
        <v>0</v>
      </c>
    </row>
    <row r="96" spans="1:8" ht="12" customHeight="1">
      <c r="A96" s="97"/>
      <c r="B96" s="4" t="s">
        <v>159</v>
      </c>
      <c r="C96" s="5" t="s">
        <v>151</v>
      </c>
      <c r="D96" s="2" t="s">
        <v>166</v>
      </c>
      <c r="E96" s="30">
        <f t="shared" si="5"/>
        <v>-80.16113039446863</v>
      </c>
      <c r="F96" s="30">
        <f t="shared" si="6"/>
        <v>180</v>
      </c>
      <c r="G96" s="30">
        <f t="shared" si="7"/>
        <v>73.73980830044624</v>
      </c>
      <c r="H96" s="30">
        <f t="shared" si="8"/>
        <v>0</v>
      </c>
    </row>
    <row r="97" spans="1:8" ht="12" customHeight="1">
      <c r="A97" s="97"/>
      <c r="B97" s="4" t="s">
        <v>160</v>
      </c>
      <c r="C97" s="5" t="s">
        <v>151</v>
      </c>
      <c r="D97" s="2" t="s">
        <v>166</v>
      </c>
      <c r="E97" s="30">
        <f t="shared" si="5"/>
        <v>-83.07815853607852</v>
      </c>
      <c r="F97" s="30">
        <f t="shared" si="6"/>
        <v>180</v>
      </c>
      <c r="G97" s="30">
        <f t="shared" si="7"/>
        <v>67.38015223385803</v>
      </c>
      <c r="H97" s="30">
        <f t="shared" si="8"/>
        <v>0</v>
      </c>
    </row>
    <row r="98" spans="1:8" ht="12" customHeight="1">
      <c r="A98" s="97"/>
      <c r="B98" s="4" t="s">
        <v>161</v>
      </c>
      <c r="C98" s="5" t="s">
        <v>151</v>
      </c>
      <c r="D98" s="2" t="s">
        <v>166</v>
      </c>
      <c r="E98" s="30">
        <f t="shared" si="5"/>
        <v>-85.37294281541672</v>
      </c>
      <c r="F98" s="30">
        <f t="shared" si="6"/>
        <v>180</v>
      </c>
      <c r="G98" s="30">
        <f t="shared" si="7"/>
        <v>57.99463854278664</v>
      </c>
      <c r="H98" s="30">
        <f t="shared" si="8"/>
        <v>0</v>
      </c>
    </row>
    <row r="99" spans="1:8" ht="12" customHeight="1">
      <c r="A99" s="98"/>
      <c r="B99" s="4" t="s">
        <v>162</v>
      </c>
      <c r="C99" s="5" t="s">
        <v>151</v>
      </c>
      <c r="D99" s="2" t="s">
        <v>166</v>
      </c>
      <c r="E99" s="30">
        <f t="shared" si="5"/>
        <v>-86.52640521133839</v>
      </c>
      <c r="F99" s="30">
        <f t="shared" si="6"/>
        <v>180</v>
      </c>
      <c r="G99" s="30">
        <f t="shared" si="7"/>
        <v>50.19445270889448</v>
      </c>
      <c r="H99" s="30">
        <f t="shared" si="8"/>
        <v>0</v>
      </c>
    </row>
    <row r="100" spans="1:8" ht="12" customHeight="1">
      <c r="A100" s="96" t="s">
        <v>167</v>
      </c>
      <c r="B100" s="4">
        <v>20</v>
      </c>
      <c r="C100" s="5" t="s">
        <v>151</v>
      </c>
      <c r="D100" s="2" t="s">
        <v>152</v>
      </c>
      <c r="E100" s="6">
        <f aca="true" t="shared" si="9" ref="E100:H121">IF(E$22="","",2*3.14159*$B100*E$22*0.001)</f>
      </c>
      <c r="F100" s="6">
        <f t="shared" si="9"/>
      </c>
      <c r="G100" s="6">
        <f t="shared" si="9"/>
        <v>0.005466662049170871</v>
      </c>
      <c r="H100" s="6">
        <f t="shared" si="9"/>
      </c>
    </row>
    <row r="101" spans="1:8" ht="12" customHeight="1">
      <c r="A101" s="97"/>
      <c r="B101" s="4">
        <v>30</v>
      </c>
      <c r="C101" s="5" t="s">
        <v>151</v>
      </c>
      <c r="D101" s="2" t="s">
        <v>152</v>
      </c>
      <c r="E101" s="6">
        <f t="shared" si="9"/>
      </c>
      <c r="F101" s="6">
        <f t="shared" si="9"/>
      </c>
      <c r="G101" s="6">
        <f t="shared" si="9"/>
        <v>0.008199993073756308</v>
      </c>
      <c r="H101" s="6">
        <f t="shared" si="9"/>
      </c>
    </row>
    <row r="102" spans="1:8" ht="12" customHeight="1">
      <c r="A102" s="97"/>
      <c r="B102" s="4">
        <v>40</v>
      </c>
      <c r="C102" s="5" t="s">
        <v>151</v>
      </c>
      <c r="D102" s="2" t="s">
        <v>152</v>
      </c>
      <c r="E102" s="6">
        <f t="shared" si="9"/>
      </c>
      <c r="F102" s="6">
        <f t="shared" si="9"/>
      </c>
      <c r="G102" s="6">
        <f t="shared" si="9"/>
        <v>0.010933324098341742</v>
      </c>
      <c r="H102" s="6">
        <f t="shared" si="9"/>
      </c>
    </row>
    <row r="103" spans="1:8" ht="12" customHeight="1">
      <c r="A103" s="97"/>
      <c r="B103" s="4">
        <v>50</v>
      </c>
      <c r="C103" s="5" t="s">
        <v>151</v>
      </c>
      <c r="D103" s="2" t="s">
        <v>152</v>
      </c>
      <c r="E103" s="6">
        <f t="shared" si="9"/>
      </c>
      <c r="F103" s="6">
        <f t="shared" si="9"/>
      </c>
      <c r="G103" s="6">
        <f t="shared" si="9"/>
        <v>0.013666655122927179</v>
      </c>
      <c r="H103" s="6">
        <f t="shared" si="9"/>
      </c>
    </row>
    <row r="104" spans="1:8" ht="12" customHeight="1">
      <c r="A104" s="97"/>
      <c r="B104" s="4">
        <v>70</v>
      </c>
      <c r="C104" s="5" t="s">
        <v>151</v>
      </c>
      <c r="D104" s="2" t="s">
        <v>152</v>
      </c>
      <c r="E104" s="6">
        <f t="shared" si="9"/>
      </c>
      <c r="F104" s="6">
        <f t="shared" si="9"/>
      </c>
      <c r="G104" s="6">
        <f t="shared" si="9"/>
        <v>0.01913331717209805</v>
      </c>
      <c r="H104" s="6">
        <f t="shared" si="9"/>
      </c>
    </row>
    <row r="105" spans="1:8" ht="12" customHeight="1">
      <c r="A105" s="97"/>
      <c r="B105" s="4">
        <v>100</v>
      </c>
      <c r="C105" s="5" t="s">
        <v>151</v>
      </c>
      <c r="D105" s="2" t="s">
        <v>152</v>
      </c>
      <c r="E105" s="6">
        <f t="shared" si="9"/>
      </c>
      <c r="F105" s="6">
        <f t="shared" si="9"/>
      </c>
      <c r="G105" s="6">
        <f t="shared" si="9"/>
        <v>0.027333310245854357</v>
      </c>
      <c r="H105" s="6">
        <f t="shared" si="9"/>
      </c>
    </row>
    <row r="106" spans="1:8" ht="12" customHeight="1">
      <c r="A106" s="97"/>
      <c r="B106" s="4">
        <v>150</v>
      </c>
      <c r="C106" s="5" t="s">
        <v>151</v>
      </c>
      <c r="D106" s="2" t="s">
        <v>152</v>
      </c>
      <c r="E106" s="6">
        <f t="shared" si="9"/>
      </c>
      <c r="F106" s="6">
        <f t="shared" si="9"/>
      </c>
      <c r="G106" s="6">
        <f t="shared" si="9"/>
        <v>0.04099996536878154</v>
      </c>
      <c r="H106" s="6">
        <f t="shared" si="9"/>
      </c>
    </row>
    <row r="107" spans="1:8" ht="12" customHeight="1">
      <c r="A107" s="97"/>
      <c r="B107" s="4">
        <v>200</v>
      </c>
      <c r="C107" s="5" t="s">
        <v>151</v>
      </c>
      <c r="D107" s="2" t="s">
        <v>152</v>
      </c>
      <c r="E107" s="6">
        <f t="shared" si="9"/>
      </c>
      <c r="F107" s="6">
        <f t="shared" si="9"/>
      </c>
      <c r="G107" s="6">
        <f t="shared" si="9"/>
        <v>0.054666620491708715</v>
      </c>
      <c r="H107" s="6">
        <f t="shared" si="9"/>
      </c>
    </row>
    <row r="108" spans="1:8" ht="12" customHeight="1">
      <c r="A108" s="97"/>
      <c r="B108" s="4">
        <v>300</v>
      </c>
      <c r="C108" s="5" t="s">
        <v>151</v>
      </c>
      <c r="D108" s="2" t="s">
        <v>152</v>
      </c>
      <c r="E108" s="6">
        <f t="shared" si="9"/>
      </c>
      <c r="F108" s="6">
        <f t="shared" si="9"/>
      </c>
      <c r="G108" s="6">
        <f t="shared" si="9"/>
        <v>0.08199993073756308</v>
      </c>
      <c r="H108" s="6">
        <f t="shared" si="9"/>
      </c>
    </row>
    <row r="109" spans="1:8" ht="12" customHeight="1">
      <c r="A109" s="97"/>
      <c r="B109" s="4">
        <v>400</v>
      </c>
      <c r="C109" s="5" t="s">
        <v>151</v>
      </c>
      <c r="D109" s="2" t="s">
        <v>152</v>
      </c>
      <c r="E109" s="6">
        <f t="shared" si="9"/>
      </c>
      <c r="F109" s="6">
        <f t="shared" si="9"/>
      </c>
      <c r="G109" s="6">
        <f t="shared" si="9"/>
        <v>0.10933324098341743</v>
      </c>
      <c r="H109" s="6">
        <f t="shared" si="9"/>
      </c>
    </row>
    <row r="110" spans="1:8" ht="12" customHeight="1">
      <c r="A110" s="97"/>
      <c r="B110" s="4">
        <v>500</v>
      </c>
      <c r="C110" s="5" t="s">
        <v>151</v>
      </c>
      <c r="D110" s="2" t="s">
        <v>152</v>
      </c>
      <c r="E110" s="6">
        <f t="shared" si="9"/>
      </c>
      <c r="F110" s="6">
        <f t="shared" si="9"/>
      </c>
      <c r="G110" s="6">
        <f t="shared" si="9"/>
        <v>0.13666655122927177</v>
      </c>
      <c r="H110" s="6">
        <f t="shared" si="9"/>
      </c>
    </row>
    <row r="111" spans="1:8" ht="12" customHeight="1">
      <c r="A111" s="97"/>
      <c r="B111" s="4">
        <v>700</v>
      </c>
      <c r="C111" s="5" t="s">
        <v>151</v>
      </c>
      <c r="D111" s="2" t="s">
        <v>152</v>
      </c>
      <c r="E111" s="6">
        <f t="shared" si="9"/>
      </c>
      <c r="F111" s="6">
        <f t="shared" si="9"/>
      </c>
      <c r="G111" s="6">
        <f t="shared" si="9"/>
        <v>0.1913331717209805</v>
      </c>
      <c r="H111" s="6">
        <f t="shared" si="9"/>
      </c>
    </row>
    <row r="112" spans="1:8" ht="12" customHeight="1">
      <c r="A112" s="97"/>
      <c r="B112" s="4">
        <v>1000</v>
      </c>
      <c r="C112" s="5" t="s">
        <v>151</v>
      </c>
      <c r="D112" s="2" t="s">
        <v>152</v>
      </c>
      <c r="E112" s="6">
        <f t="shared" si="9"/>
      </c>
      <c r="F112" s="6">
        <f t="shared" si="9"/>
      </c>
      <c r="G112" s="6">
        <f t="shared" si="9"/>
        <v>0.27333310245854353</v>
      </c>
      <c r="H112" s="6">
        <f t="shared" si="9"/>
      </c>
    </row>
    <row r="113" spans="1:8" ht="12" customHeight="1">
      <c r="A113" s="97"/>
      <c r="B113" s="4">
        <v>1500</v>
      </c>
      <c r="C113" s="5" t="s">
        <v>151</v>
      </c>
      <c r="D113" s="2" t="s">
        <v>152</v>
      </c>
      <c r="E113" s="6">
        <f t="shared" si="9"/>
      </c>
      <c r="F113" s="6">
        <f t="shared" si="9"/>
      </c>
      <c r="G113" s="6">
        <f t="shared" si="9"/>
        <v>0.4099996536878154</v>
      </c>
      <c r="H113" s="6">
        <f t="shared" si="9"/>
      </c>
    </row>
    <row r="114" spans="1:8" ht="12" customHeight="1">
      <c r="A114" s="97"/>
      <c r="B114" s="4">
        <v>2000</v>
      </c>
      <c r="C114" s="5" t="s">
        <v>151</v>
      </c>
      <c r="D114" s="2" t="s">
        <v>152</v>
      </c>
      <c r="E114" s="6">
        <f t="shared" si="9"/>
      </c>
      <c r="F114" s="6">
        <f t="shared" si="9"/>
      </c>
      <c r="G114" s="6">
        <f t="shared" si="9"/>
        <v>0.5466662049170871</v>
      </c>
      <c r="H114" s="6">
        <f t="shared" si="9"/>
      </c>
    </row>
    <row r="115" spans="1:8" ht="12" customHeight="1">
      <c r="A115" s="97"/>
      <c r="B115" s="4">
        <v>3000</v>
      </c>
      <c r="C115" s="5" t="s">
        <v>151</v>
      </c>
      <c r="D115" s="2" t="s">
        <v>152</v>
      </c>
      <c r="E115" s="6">
        <f t="shared" si="9"/>
      </c>
      <c r="F115" s="6">
        <f t="shared" si="9"/>
      </c>
      <c r="G115" s="6">
        <f t="shared" si="9"/>
        <v>0.8199993073756308</v>
      </c>
      <c r="H115" s="6">
        <f t="shared" si="9"/>
      </c>
    </row>
    <row r="116" spans="1:8" ht="12" customHeight="1">
      <c r="A116" s="97"/>
      <c r="B116" s="4">
        <v>4000</v>
      </c>
      <c r="C116" s="5" t="s">
        <v>151</v>
      </c>
      <c r="D116" s="2" t="s">
        <v>152</v>
      </c>
      <c r="E116" s="6">
        <f t="shared" si="9"/>
      </c>
      <c r="F116" s="6">
        <f t="shared" si="9"/>
      </c>
      <c r="G116" s="6">
        <f t="shared" si="9"/>
        <v>1.0933324098341741</v>
      </c>
      <c r="H116" s="6">
        <f t="shared" si="9"/>
      </c>
    </row>
    <row r="117" spans="1:8" ht="12" customHeight="1">
      <c r="A117" s="97"/>
      <c r="B117" s="4">
        <v>5000</v>
      </c>
      <c r="C117" s="5" t="s">
        <v>151</v>
      </c>
      <c r="D117" s="2" t="s">
        <v>152</v>
      </c>
      <c r="E117" s="6">
        <f t="shared" si="9"/>
      </c>
      <c r="F117" s="6">
        <f t="shared" si="9"/>
      </c>
      <c r="G117" s="6">
        <f t="shared" si="9"/>
        <v>1.3666655122927178</v>
      </c>
      <c r="H117" s="6">
        <f t="shared" si="9"/>
      </c>
    </row>
    <row r="118" spans="1:8" ht="12" customHeight="1">
      <c r="A118" s="97"/>
      <c r="B118" s="4">
        <v>7000</v>
      </c>
      <c r="C118" s="5" t="s">
        <v>151</v>
      </c>
      <c r="D118" s="2" t="s">
        <v>152</v>
      </c>
      <c r="E118" s="6">
        <f t="shared" si="9"/>
      </c>
      <c r="F118" s="6">
        <f t="shared" si="9"/>
      </c>
      <c r="G118" s="6">
        <f t="shared" si="9"/>
        <v>1.9133317172098048</v>
      </c>
      <c r="H118" s="6">
        <f t="shared" si="9"/>
      </c>
    </row>
    <row r="119" spans="1:8" ht="12" customHeight="1">
      <c r="A119" s="97"/>
      <c r="B119" s="4">
        <v>10000</v>
      </c>
      <c r="C119" s="5" t="s">
        <v>151</v>
      </c>
      <c r="D119" s="2" t="s">
        <v>152</v>
      </c>
      <c r="E119" s="6">
        <f t="shared" si="9"/>
      </c>
      <c r="F119" s="6">
        <f t="shared" si="9"/>
      </c>
      <c r="G119" s="6">
        <f t="shared" si="9"/>
        <v>2.7333310245854356</v>
      </c>
      <c r="H119" s="6">
        <f t="shared" si="9"/>
      </c>
    </row>
    <row r="120" spans="1:8" ht="12" customHeight="1">
      <c r="A120" s="97"/>
      <c r="B120" s="4">
        <v>15000</v>
      </c>
      <c r="C120" s="5" t="s">
        <v>151</v>
      </c>
      <c r="D120" s="2" t="s">
        <v>152</v>
      </c>
      <c r="E120" s="6">
        <f t="shared" si="9"/>
      </c>
      <c r="F120" s="6">
        <f t="shared" si="9"/>
      </c>
      <c r="G120" s="6">
        <f t="shared" si="9"/>
        <v>4.0999965368781535</v>
      </c>
      <c r="H120" s="6">
        <f t="shared" si="9"/>
      </c>
    </row>
    <row r="121" spans="1:8" ht="12" customHeight="1">
      <c r="A121" s="98"/>
      <c r="B121" s="4">
        <v>20000</v>
      </c>
      <c r="C121" s="5" t="s">
        <v>151</v>
      </c>
      <c r="D121" s="2" t="s">
        <v>152</v>
      </c>
      <c r="E121" s="6">
        <f t="shared" si="9"/>
      </c>
      <c r="F121" s="6">
        <f t="shared" si="9"/>
      </c>
      <c r="G121" s="6">
        <f t="shared" si="9"/>
        <v>5.466662049170871</v>
      </c>
      <c r="H121" s="6">
        <f t="shared" si="9"/>
      </c>
    </row>
    <row r="122" spans="1:8" ht="12" customHeight="1">
      <c r="A122" s="96" t="s">
        <v>168</v>
      </c>
      <c r="B122" s="4">
        <v>20</v>
      </c>
      <c r="C122" s="5" t="s">
        <v>151</v>
      </c>
      <c r="D122" s="2" t="s">
        <v>152</v>
      </c>
      <c r="E122" s="6">
        <f aca="true" t="shared" si="10" ref="E122:H143">IF(E$23="","",1/(2*3.14159*$B100*E$23/1000000))</f>
      </c>
      <c r="F122" s="6">
        <f t="shared" si="10"/>
      </c>
      <c r="G122" s="6">
        <f t="shared" si="10"/>
        <v>7872.006649199561</v>
      </c>
      <c r="H122" s="6">
        <f t="shared" si="10"/>
      </c>
    </row>
    <row r="123" spans="1:8" ht="12" customHeight="1">
      <c r="A123" s="97"/>
      <c r="B123" s="4">
        <v>30</v>
      </c>
      <c r="C123" s="5" t="s">
        <v>151</v>
      </c>
      <c r="D123" s="2" t="s">
        <v>152</v>
      </c>
      <c r="E123" s="6">
        <f t="shared" si="10"/>
      </c>
      <c r="F123" s="6">
        <f t="shared" si="10"/>
      </c>
      <c r="G123" s="6">
        <f t="shared" si="10"/>
        <v>5248.0044327997075</v>
      </c>
      <c r="H123" s="6">
        <f t="shared" si="10"/>
      </c>
    </row>
    <row r="124" spans="1:8" ht="12" customHeight="1">
      <c r="A124" s="97"/>
      <c r="B124" s="4">
        <v>40</v>
      </c>
      <c r="C124" s="5" t="s">
        <v>151</v>
      </c>
      <c r="D124" s="2" t="s">
        <v>152</v>
      </c>
      <c r="E124" s="6">
        <f t="shared" si="10"/>
      </c>
      <c r="F124" s="6">
        <f t="shared" si="10"/>
      </c>
      <c r="G124" s="6">
        <f t="shared" si="10"/>
        <v>3936.0033245997806</v>
      </c>
      <c r="H124" s="6">
        <f t="shared" si="10"/>
      </c>
    </row>
    <row r="125" spans="1:8" ht="12" customHeight="1">
      <c r="A125" s="97"/>
      <c r="B125" s="4">
        <v>50</v>
      </c>
      <c r="C125" s="5" t="s">
        <v>151</v>
      </c>
      <c r="D125" s="2" t="s">
        <v>152</v>
      </c>
      <c r="E125" s="6">
        <f t="shared" si="10"/>
      </c>
      <c r="F125" s="6">
        <f t="shared" si="10"/>
      </c>
      <c r="G125" s="6">
        <f t="shared" si="10"/>
        <v>3148.8026596798245</v>
      </c>
      <c r="H125" s="6">
        <f t="shared" si="10"/>
      </c>
    </row>
    <row r="126" spans="1:8" ht="12" customHeight="1">
      <c r="A126" s="97"/>
      <c r="B126" s="4">
        <v>70</v>
      </c>
      <c r="C126" s="5" t="s">
        <v>151</v>
      </c>
      <c r="D126" s="2" t="s">
        <v>152</v>
      </c>
      <c r="E126" s="6">
        <f t="shared" si="10"/>
      </c>
      <c r="F126" s="6">
        <f t="shared" si="10"/>
      </c>
      <c r="G126" s="6">
        <f t="shared" si="10"/>
        <v>2249.14475691416</v>
      </c>
      <c r="H126" s="6">
        <f t="shared" si="10"/>
      </c>
    </row>
    <row r="127" spans="1:8" ht="12" customHeight="1">
      <c r="A127" s="97"/>
      <c r="B127" s="4">
        <v>100</v>
      </c>
      <c r="C127" s="5" t="s">
        <v>151</v>
      </c>
      <c r="D127" s="2" t="s">
        <v>152</v>
      </c>
      <c r="E127" s="6">
        <f t="shared" si="10"/>
      </c>
      <c r="F127" s="6">
        <f t="shared" si="10"/>
      </c>
      <c r="G127" s="6">
        <f t="shared" si="10"/>
        <v>1574.4013298399123</v>
      </c>
      <c r="H127" s="6">
        <f t="shared" si="10"/>
      </c>
    </row>
    <row r="128" spans="1:8" ht="12" customHeight="1">
      <c r="A128" s="97"/>
      <c r="B128" s="4">
        <v>150</v>
      </c>
      <c r="C128" s="5" t="s">
        <v>151</v>
      </c>
      <c r="D128" s="2" t="s">
        <v>152</v>
      </c>
      <c r="E128" s="6">
        <f t="shared" si="10"/>
      </c>
      <c r="F128" s="6">
        <f t="shared" si="10"/>
      </c>
      <c r="G128" s="6">
        <f t="shared" si="10"/>
        <v>1049.6008865599415</v>
      </c>
      <c r="H128" s="6">
        <f t="shared" si="10"/>
      </c>
    </row>
    <row r="129" spans="1:8" ht="12" customHeight="1">
      <c r="A129" s="97"/>
      <c r="B129" s="4">
        <v>200</v>
      </c>
      <c r="C129" s="5" t="s">
        <v>151</v>
      </c>
      <c r="D129" s="2" t="s">
        <v>152</v>
      </c>
      <c r="E129" s="6">
        <f t="shared" si="10"/>
      </c>
      <c r="F129" s="6">
        <f t="shared" si="10"/>
      </c>
      <c r="G129" s="6">
        <f t="shared" si="10"/>
        <v>787.2006649199561</v>
      </c>
      <c r="H129" s="6">
        <f t="shared" si="10"/>
      </c>
    </row>
    <row r="130" spans="1:8" ht="12" customHeight="1">
      <c r="A130" s="97"/>
      <c r="B130" s="4">
        <v>300</v>
      </c>
      <c r="C130" s="5" t="s">
        <v>151</v>
      </c>
      <c r="D130" s="2" t="s">
        <v>152</v>
      </c>
      <c r="E130" s="6">
        <f t="shared" si="10"/>
      </c>
      <c r="F130" s="6">
        <f t="shared" si="10"/>
      </c>
      <c r="G130" s="6">
        <f t="shared" si="10"/>
        <v>524.8004432799708</v>
      </c>
      <c r="H130" s="6">
        <f t="shared" si="10"/>
      </c>
    </row>
    <row r="131" spans="1:8" ht="12" customHeight="1">
      <c r="A131" s="97"/>
      <c r="B131" s="4">
        <v>400</v>
      </c>
      <c r="C131" s="5" t="s">
        <v>151</v>
      </c>
      <c r="D131" s="2" t="s">
        <v>152</v>
      </c>
      <c r="E131" s="6">
        <f t="shared" si="10"/>
      </c>
      <c r="F131" s="6">
        <f t="shared" si="10"/>
      </c>
      <c r="G131" s="6">
        <f t="shared" si="10"/>
        <v>393.60033245997806</v>
      </c>
      <c r="H131" s="6">
        <f t="shared" si="10"/>
      </c>
    </row>
    <row r="132" spans="1:8" ht="12" customHeight="1">
      <c r="A132" s="97"/>
      <c r="B132" s="4">
        <v>500</v>
      </c>
      <c r="C132" s="5" t="s">
        <v>151</v>
      </c>
      <c r="D132" s="2" t="s">
        <v>152</v>
      </c>
      <c r="E132" s="6">
        <f t="shared" si="10"/>
      </c>
      <c r="F132" s="6">
        <f t="shared" si="10"/>
      </c>
      <c r="G132" s="6">
        <f t="shared" si="10"/>
        <v>314.8802659679825</v>
      </c>
      <c r="H132" s="6">
        <f t="shared" si="10"/>
      </c>
    </row>
    <row r="133" spans="1:8" ht="12" customHeight="1">
      <c r="A133" s="97"/>
      <c r="B133" s="4">
        <v>700</v>
      </c>
      <c r="C133" s="5" t="s">
        <v>151</v>
      </c>
      <c r="D133" s="2" t="s">
        <v>152</v>
      </c>
      <c r="E133" s="6">
        <f t="shared" si="10"/>
      </c>
      <c r="F133" s="6">
        <f t="shared" si="10"/>
      </c>
      <c r="G133" s="6">
        <f t="shared" si="10"/>
        <v>224.91447569141602</v>
      </c>
      <c r="H133" s="6">
        <f t="shared" si="10"/>
      </c>
    </row>
    <row r="134" spans="1:8" ht="12" customHeight="1">
      <c r="A134" s="97"/>
      <c r="B134" s="4" t="s">
        <v>153</v>
      </c>
      <c r="C134" s="5" t="s">
        <v>151</v>
      </c>
      <c r="D134" s="2" t="s">
        <v>152</v>
      </c>
      <c r="E134" s="6">
        <f t="shared" si="10"/>
      </c>
      <c r="F134" s="6">
        <f t="shared" si="10"/>
      </c>
      <c r="G134" s="6">
        <f t="shared" si="10"/>
        <v>157.44013298399125</v>
      </c>
      <c r="H134" s="6">
        <f t="shared" si="10"/>
      </c>
    </row>
    <row r="135" spans="1:8" ht="12" customHeight="1">
      <c r="A135" s="97"/>
      <c r="B135" s="4" t="s">
        <v>154</v>
      </c>
      <c r="C135" s="5" t="s">
        <v>151</v>
      </c>
      <c r="D135" s="2" t="s">
        <v>152</v>
      </c>
      <c r="E135" s="6">
        <f t="shared" si="10"/>
      </c>
      <c r="F135" s="6">
        <f t="shared" si="10"/>
      </c>
      <c r="G135" s="6">
        <f t="shared" si="10"/>
        <v>104.96008865599416</v>
      </c>
      <c r="H135" s="6">
        <f t="shared" si="10"/>
      </c>
    </row>
    <row r="136" spans="1:8" ht="12" customHeight="1">
      <c r="A136" s="97"/>
      <c r="B136" s="4" t="s">
        <v>155</v>
      </c>
      <c r="C136" s="5" t="s">
        <v>151</v>
      </c>
      <c r="D136" s="2" t="s">
        <v>152</v>
      </c>
      <c r="E136" s="6">
        <f t="shared" si="10"/>
      </c>
      <c r="F136" s="6">
        <f t="shared" si="10"/>
      </c>
      <c r="G136" s="6">
        <f t="shared" si="10"/>
        <v>78.72006649199562</v>
      </c>
      <c r="H136" s="6">
        <f t="shared" si="10"/>
      </c>
    </row>
    <row r="137" spans="1:8" ht="12" customHeight="1">
      <c r="A137" s="97"/>
      <c r="B137" s="4" t="s">
        <v>156</v>
      </c>
      <c r="C137" s="5" t="s">
        <v>151</v>
      </c>
      <c r="D137" s="2" t="s">
        <v>152</v>
      </c>
      <c r="E137" s="6">
        <f t="shared" si="10"/>
      </c>
      <c r="F137" s="6">
        <f t="shared" si="10"/>
      </c>
      <c r="G137" s="6">
        <f t="shared" si="10"/>
        <v>52.48004432799708</v>
      </c>
      <c r="H137" s="6">
        <f t="shared" si="10"/>
      </c>
    </row>
    <row r="138" spans="1:8" ht="12" customHeight="1">
      <c r="A138" s="97"/>
      <c r="B138" s="4" t="s">
        <v>157</v>
      </c>
      <c r="C138" s="5" t="s">
        <v>151</v>
      </c>
      <c r="D138" s="2" t="s">
        <v>152</v>
      </c>
      <c r="E138" s="6">
        <f t="shared" si="10"/>
      </c>
      <c r="F138" s="6">
        <f t="shared" si="10"/>
      </c>
      <c r="G138" s="6">
        <f t="shared" si="10"/>
        <v>39.36003324599781</v>
      </c>
      <c r="H138" s="6">
        <f t="shared" si="10"/>
      </c>
    </row>
    <row r="139" spans="1:8" ht="12" customHeight="1">
      <c r="A139" s="97"/>
      <c r="B139" s="4" t="s">
        <v>158</v>
      </c>
      <c r="C139" s="5" t="s">
        <v>151</v>
      </c>
      <c r="D139" s="2" t="s">
        <v>152</v>
      </c>
      <c r="E139" s="6">
        <f t="shared" si="10"/>
      </c>
      <c r="F139" s="6">
        <f t="shared" si="10"/>
      </c>
      <c r="G139" s="6">
        <f t="shared" si="10"/>
        <v>31.48802659679825</v>
      </c>
      <c r="H139" s="6">
        <f t="shared" si="10"/>
      </c>
    </row>
    <row r="140" spans="1:8" ht="12" customHeight="1">
      <c r="A140" s="97"/>
      <c r="B140" s="4" t="s">
        <v>159</v>
      </c>
      <c r="C140" s="5" t="s">
        <v>151</v>
      </c>
      <c r="D140" s="2" t="s">
        <v>152</v>
      </c>
      <c r="E140" s="6">
        <f t="shared" si="10"/>
      </c>
      <c r="F140" s="6">
        <f t="shared" si="10"/>
      </c>
      <c r="G140" s="6">
        <f t="shared" si="10"/>
        <v>22.491447569141602</v>
      </c>
      <c r="H140" s="6">
        <f t="shared" si="10"/>
      </c>
    </row>
    <row r="141" spans="1:8" ht="12" customHeight="1">
      <c r="A141" s="97"/>
      <c r="B141" s="4" t="s">
        <v>160</v>
      </c>
      <c r="C141" s="5" t="s">
        <v>151</v>
      </c>
      <c r="D141" s="2" t="s">
        <v>152</v>
      </c>
      <c r="E141" s="6">
        <f t="shared" si="10"/>
      </c>
      <c r="F141" s="6">
        <f t="shared" si="10"/>
      </c>
      <c r="G141" s="6">
        <f t="shared" si="10"/>
        <v>15.744013298399125</v>
      </c>
      <c r="H141" s="6">
        <f t="shared" si="10"/>
      </c>
    </row>
    <row r="142" spans="1:8" ht="12" customHeight="1">
      <c r="A142" s="97"/>
      <c r="B142" s="4" t="s">
        <v>161</v>
      </c>
      <c r="C142" s="5" t="s">
        <v>151</v>
      </c>
      <c r="D142" s="2" t="s">
        <v>152</v>
      </c>
      <c r="E142" s="6">
        <f t="shared" si="10"/>
      </c>
      <c r="F142" s="6">
        <f t="shared" si="10"/>
      </c>
      <c r="G142" s="6">
        <f t="shared" si="10"/>
        <v>10.496008865599416</v>
      </c>
      <c r="H142" s="6">
        <f t="shared" si="10"/>
      </c>
    </row>
    <row r="143" spans="1:8" ht="12" customHeight="1">
      <c r="A143" s="98"/>
      <c r="B143" s="4" t="s">
        <v>162</v>
      </c>
      <c r="C143" s="5" t="s">
        <v>151</v>
      </c>
      <c r="D143" s="2" t="s">
        <v>152</v>
      </c>
      <c r="E143" s="6">
        <f t="shared" si="10"/>
      </c>
      <c r="F143" s="6">
        <f t="shared" si="10"/>
      </c>
      <c r="G143" s="6">
        <f t="shared" si="10"/>
        <v>7.872006649199562</v>
      </c>
      <c r="H143" s="6">
        <f t="shared" si="10"/>
      </c>
    </row>
    <row r="144" spans="1:8" ht="12" customHeight="1">
      <c r="A144" s="96" t="s">
        <v>169</v>
      </c>
      <c r="B144" s="4">
        <v>20</v>
      </c>
      <c r="C144" s="5" t="s">
        <v>151</v>
      </c>
      <c r="D144" s="2" t="s">
        <v>152</v>
      </c>
      <c r="E144" s="6">
        <f aca="true" t="shared" si="11" ref="E144:H165">IF(E$24="","",2*3.14159*$B100*E$24*0.001)</f>
        <v>0.10807239635922646</v>
      </c>
      <c r="F144" s="6">
        <f t="shared" si="11"/>
      </c>
      <c r="G144" s="6">
        <f t="shared" si="11"/>
      </c>
      <c r="H144" s="6">
        <f t="shared" si="11"/>
      </c>
    </row>
    <row r="145" spans="1:8" ht="12" customHeight="1">
      <c r="A145" s="97"/>
      <c r="B145" s="4">
        <v>30</v>
      </c>
      <c r="C145" s="5" t="s">
        <v>151</v>
      </c>
      <c r="D145" s="2" t="s">
        <v>152</v>
      </c>
      <c r="E145" s="6">
        <f t="shared" si="11"/>
        <v>0.16210859453883966</v>
      </c>
      <c r="F145" s="6">
        <f t="shared" si="11"/>
      </c>
      <c r="G145" s="6">
        <f t="shared" si="11"/>
      </c>
      <c r="H145" s="6">
        <f t="shared" si="11"/>
      </c>
    </row>
    <row r="146" spans="1:8" ht="12" customHeight="1">
      <c r="A146" s="97"/>
      <c r="B146" s="4">
        <v>40</v>
      </c>
      <c r="C146" s="5" t="s">
        <v>151</v>
      </c>
      <c r="D146" s="2" t="s">
        <v>152</v>
      </c>
      <c r="E146" s="6">
        <f t="shared" si="11"/>
        <v>0.2161447927184529</v>
      </c>
      <c r="F146" s="6">
        <f t="shared" si="11"/>
      </c>
      <c r="G146" s="6">
        <f t="shared" si="11"/>
      </c>
      <c r="H146" s="6">
        <f t="shared" si="11"/>
      </c>
    </row>
    <row r="147" spans="1:8" ht="12" customHeight="1">
      <c r="A147" s="97"/>
      <c r="B147" s="4">
        <v>50</v>
      </c>
      <c r="C147" s="5" t="s">
        <v>151</v>
      </c>
      <c r="D147" s="2" t="s">
        <v>152</v>
      </c>
      <c r="E147" s="6">
        <f t="shared" si="11"/>
        <v>0.27018099089806613</v>
      </c>
      <c r="F147" s="6">
        <f t="shared" si="11"/>
      </c>
      <c r="G147" s="6">
        <f t="shared" si="11"/>
      </c>
      <c r="H147" s="6">
        <f t="shared" si="11"/>
      </c>
    </row>
    <row r="148" spans="1:8" ht="12" customHeight="1">
      <c r="A148" s="97"/>
      <c r="B148" s="4">
        <v>70</v>
      </c>
      <c r="C148" s="5" t="s">
        <v>151</v>
      </c>
      <c r="D148" s="2" t="s">
        <v>152</v>
      </c>
      <c r="E148" s="6">
        <f t="shared" si="11"/>
        <v>0.3782533872572926</v>
      </c>
      <c r="F148" s="6">
        <f t="shared" si="11"/>
      </c>
      <c r="G148" s="6">
        <f t="shared" si="11"/>
      </c>
      <c r="H148" s="6">
        <f t="shared" si="11"/>
      </c>
    </row>
    <row r="149" spans="1:8" ht="12" customHeight="1">
      <c r="A149" s="97"/>
      <c r="B149" s="4">
        <v>100</v>
      </c>
      <c r="C149" s="5" t="s">
        <v>151</v>
      </c>
      <c r="D149" s="2" t="s">
        <v>152</v>
      </c>
      <c r="E149" s="6">
        <f t="shared" si="11"/>
        <v>0.5403619817961323</v>
      </c>
      <c r="F149" s="6">
        <f t="shared" si="11"/>
      </c>
      <c r="G149" s="6">
        <f t="shared" si="11"/>
      </c>
      <c r="H149" s="6">
        <f t="shared" si="11"/>
      </c>
    </row>
    <row r="150" spans="1:8" ht="12" customHeight="1">
      <c r="A150" s="97"/>
      <c r="B150" s="4">
        <v>150</v>
      </c>
      <c r="C150" s="5" t="s">
        <v>151</v>
      </c>
      <c r="D150" s="2" t="s">
        <v>152</v>
      </c>
      <c r="E150" s="6">
        <f t="shared" si="11"/>
        <v>0.8105429726941984</v>
      </c>
      <c r="F150" s="6">
        <f t="shared" si="11"/>
      </c>
      <c r="G150" s="6">
        <f t="shared" si="11"/>
      </c>
      <c r="H150" s="6">
        <f t="shared" si="11"/>
      </c>
    </row>
    <row r="151" spans="1:8" ht="12" customHeight="1">
      <c r="A151" s="97"/>
      <c r="B151" s="4">
        <v>200</v>
      </c>
      <c r="C151" s="5" t="s">
        <v>151</v>
      </c>
      <c r="D151" s="2" t="s">
        <v>152</v>
      </c>
      <c r="E151" s="6">
        <f t="shared" si="11"/>
        <v>1.0807239635922645</v>
      </c>
      <c r="F151" s="6">
        <f t="shared" si="11"/>
      </c>
      <c r="G151" s="6">
        <f t="shared" si="11"/>
      </c>
      <c r="H151" s="6">
        <f t="shared" si="11"/>
      </c>
    </row>
    <row r="152" spans="1:8" ht="12" customHeight="1">
      <c r="A152" s="97"/>
      <c r="B152" s="4">
        <v>300</v>
      </c>
      <c r="C152" s="5" t="s">
        <v>151</v>
      </c>
      <c r="D152" s="2" t="s">
        <v>152</v>
      </c>
      <c r="E152" s="6">
        <f t="shared" si="11"/>
        <v>1.6210859453883968</v>
      </c>
      <c r="F152" s="6">
        <f t="shared" si="11"/>
      </c>
      <c r="G152" s="6">
        <f t="shared" si="11"/>
      </c>
      <c r="H152" s="6">
        <f t="shared" si="11"/>
      </c>
    </row>
    <row r="153" spans="1:8" ht="12" customHeight="1">
      <c r="A153" s="97"/>
      <c r="B153" s="4">
        <v>400</v>
      </c>
      <c r="C153" s="5" t="s">
        <v>151</v>
      </c>
      <c r="D153" s="2" t="s">
        <v>152</v>
      </c>
      <c r="E153" s="6">
        <f t="shared" si="11"/>
        <v>2.161447927184529</v>
      </c>
      <c r="F153" s="6">
        <f t="shared" si="11"/>
      </c>
      <c r="G153" s="6">
        <f t="shared" si="11"/>
      </c>
      <c r="H153" s="6">
        <f t="shared" si="11"/>
      </c>
    </row>
    <row r="154" spans="1:8" ht="12" customHeight="1">
      <c r="A154" s="97"/>
      <c r="B154" s="4">
        <v>500</v>
      </c>
      <c r="C154" s="5" t="s">
        <v>151</v>
      </c>
      <c r="D154" s="2" t="s">
        <v>152</v>
      </c>
      <c r="E154" s="6">
        <f t="shared" si="11"/>
        <v>2.701809908980661</v>
      </c>
      <c r="F154" s="6">
        <f t="shared" si="11"/>
      </c>
      <c r="G154" s="6">
        <f t="shared" si="11"/>
      </c>
      <c r="H154" s="6">
        <f t="shared" si="11"/>
      </c>
    </row>
    <row r="155" spans="1:8" ht="12" customHeight="1">
      <c r="A155" s="97"/>
      <c r="B155" s="4">
        <v>700</v>
      </c>
      <c r="C155" s="5" t="s">
        <v>151</v>
      </c>
      <c r="D155" s="2" t="s">
        <v>152</v>
      </c>
      <c r="E155" s="6">
        <f t="shared" si="11"/>
        <v>3.782533872572926</v>
      </c>
      <c r="F155" s="6">
        <f t="shared" si="11"/>
      </c>
      <c r="G155" s="6">
        <f t="shared" si="11"/>
      </c>
      <c r="H155" s="6">
        <f t="shared" si="11"/>
      </c>
    </row>
    <row r="156" spans="1:8" ht="12" customHeight="1">
      <c r="A156" s="97"/>
      <c r="B156" s="4" t="s">
        <v>153</v>
      </c>
      <c r="C156" s="5" t="s">
        <v>151</v>
      </c>
      <c r="D156" s="2" t="s">
        <v>152</v>
      </c>
      <c r="E156" s="6">
        <f t="shared" si="11"/>
        <v>5.403619817961322</v>
      </c>
      <c r="F156" s="6">
        <f t="shared" si="11"/>
      </c>
      <c r="G156" s="6">
        <f t="shared" si="11"/>
      </c>
      <c r="H156" s="6">
        <f t="shared" si="11"/>
      </c>
    </row>
    <row r="157" spans="1:8" ht="12" customHeight="1">
      <c r="A157" s="97"/>
      <c r="B157" s="4" t="s">
        <v>154</v>
      </c>
      <c r="C157" s="5" t="s">
        <v>151</v>
      </c>
      <c r="D157" s="2" t="s">
        <v>152</v>
      </c>
      <c r="E157" s="6">
        <f t="shared" si="11"/>
        <v>8.105429726941985</v>
      </c>
      <c r="F157" s="6">
        <f t="shared" si="11"/>
      </c>
      <c r="G157" s="6">
        <f t="shared" si="11"/>
      </c>
      <c r="H157" s="6">
        <f t="shared" si="11"/>
      </c>
    </row>
    <row r="158" spans="1:8" ht="12" customHeight="1">
      <c r="A158" s="97"/>
      <c r="B158" s="4" t="s">
        <v>155</v>
      </c>
      <c r="C158" s="5" t="s">
        <v>151</v>
      </c>
      <c r="D158" s="2" t="s">
        <v>152</v>
      </c>
      <c r="E158" s="6">
        <f t="shared" si="11"/>
        <v>10.807239635922643</v>
      </c>
      <c r="F158" s="6">
        <f t="shared" si="11"/>
      </c>
      <c r="G158" s="6">
        <f t="shared" si="11"/>
      </c>
      <c r="H158" s="6">
        <f t="shared" si="11"/>
      </c>
    </row>
    <row r="159" spans="1:8" ht="12" customHeight="1">
      <c r="A159" s="97"/>
      <c r="B159" s="4" t="s">
        <v>156</v>
      </c>
      <c r="C159" s="5" t="s">
        <v>151</v>
      </c>
      <c r="D159" s="2" t="s">
        <v>152</v>
      </c>
      <c r="E159" s="6">
        <f t="shared" si="11"/>
        <v>16.21085945388397</v>
      </c>
      <c r="F159" s="6">
        <f t="shared" si="11"/>
      </c>
      <c r="G159" s="6">
        <f t="shared" si="11"/>
      </c>
      <c r="H159" s="6">
        <f t="shared" si="11"/>
      </c>
    </row>
    <row r="160" spans="1:8" ht="12" customHeight="1">
      <c r="A160" s="97"/>
      <c r="B160" s="4" t="s">
        <v>157</v>
      </c>
      <c r="C160" s="5" t="s">
        <v>151</v>
      </c>
      <c r="D160" s="2" t="s">
        <v>152</v>
      </c>
      <c r="E160" s="6">
        <f t="shared" si="11"/>
        <v>21.614479271845287</v>
      </c>
      <c r="F160" s="6">
        <f t="shared" si="11"/>
      </c>
      <c r="G160" s="6">
        <f t="shared" si="11"/>
      </c>
      <c r="H160" s="6">
        <f t="shared" si="11"/>
      </c>
    </row>
    <row r="161" spans="1:8" ht="12" customHeight="1">
      <c r="A161" s="97"/>
      <c r="B161" s="4" t="s">
        <v>158</v>
      </c>
      <c r="C161" s="5" t="s">
        <v>151</v>
      </c>
      <c r="D161" s="2" t="s">
        <v>152</v>
      </c>
      <c r="E161" s="6">
        <f t="shared" si="11"/>
        <v>27.01809908980661</v>
      </c>
      <c r="F161" s="6">
        <f t="shared" si="11"/>
      </c>
      <c r="G161" s="6">
        <f t="shared" si="11"/>
      </c>
      <c r="H161" s="6">
        <f t="shared" si="11"/>
      </c>
    </row>
    <row r="162" spans="1:8" ht="12" customHeight="1">
      <c r="A162" s="97"/>
      <c r="B162" s="4" t="s">
        <v>159</v>
      </c>
      <c r="C162" s="5" t="s">
        <v>151</v>
      </c>
      <c r="D162" s="2" t="s">
        <v>152</v>
      </c>
      <c r="E162" s="6">
        <f t="shared" si="11"/>
        <v>37.82533872572926</v>
      </c>
      <c r="F162" s="6">
        <f t="shared" si="11"/>
      </c>
      <c r="G162" s="6">
        <f t="shared" si="11"/>
      </c>
      <c r="H162" s="6">
        <f t="shared" si="11"/>
      </c>
    </row>
    <row r="163" spans="1:8" ht="12" customHeight="1">
      <c r="A163" s="97"/>
      <c r="B163" s="4" t="s">
        <v>160</v>
      </c>
      <c r="C163" s="5" t="s">
        <v>151</v>
      </c>
      <c r="D163" s="2" t="s">
        <v>152</v>
      </c>
      <c r="E163" s="6">
        <f t="shared" si="11"/>
        <v>54.03619817961322</v>
      </c>
      <c r="F163" s="6">
        <f t="shared" si="11"/>
      </c>
      <c r="G163" s="6">
        <f t="shared" si="11"/>
      </c>
      <c r="H163" s="6">
        <f t="shared" si="11"/>
      </c>
    </row>
    <row r="164" spans="1:8" ht="12" customHeight="1">
      <c r="A164" s="97"/>
      <c r="B164" s="4" t="s">
        <v>161</v>
      </c>
      <c r="C164" s="5" t="s">
        <v>151</v>
      </c>
      <c r="D164" s="2" t="s">
        <v>152</v>
      </c>
      <c r="E164" s="6">
        <f t="shared" si="11"/>
        <v>81.05429726941985</v>
      </c>
      <c r="F164" s="6">
        <f t="shared" si="11"/>
      </c>
      <c r="G164" s="6">
        <f t="shared" si="11"/>
      </c>
      <c r="H164" s="6">
        <f t="shared" si="11"/>
      </c>
    </row>
    <row r="165" spans="1:8" ht="12" customHeight="1">
      <c r="A165" s="98"/>
      <c r="B165" s="4" t="s">
        <v>162</v>
      </c>
      <c r="C165" s="5" t="s">
        <v>151</v>
      </c>
      <c r="D165" s="2" t="s">
        <v>152</v>
      </c>
      <c r="E165" s="6">
        <f t="shared" si="11"/>
        <v>108.07239635922645</v>
      </c>
      <c r="F165" s="6">
        <f t="shared" si="11"/>
      </c>
      <c r="G165" s="6">
        <f t="shared" si="11"/>
      </c>
      <c r="H165" s="6">
        <f t="shared" si="11"/>
      </c>
    </row>
    <row r="166" spans="1:8" ht="12" customHeight="1">
      <c r="A166" s="96" t="s">
        <v>170</v>
      </c>
      <c r="B166" s="4">
        <v>20</v>
      </c>
      <c r="C166" s="5" t="s">
        <v>151</v>
      </c>
      <c r="D166" s="2" t="s">
        <v>152</v>
      </c>
      <c r="E166" s="6">
        <f aca="true" t="shared" si="12" ref="E166:H187">IF(E$25="","",1/(2*3.14159*$B100*E$25/1000000))</f>
        <v>398.1923363386778</v>
      </c>
      <c r="F166" s="6">
        <f t="shared" si="12"/>
      </c>
      <c r="G166" s="6">
        <f t="shared" si="12"/>
      </c>
      <c r="H166" s="6">
        <f t="shared" si="12"/>
      </c>
    </row>
    <row r="167" spans="1:8" ht="12" customHeight="1">
      <c r="A167" s="97"/>
      <c r="B167" s="4">
        <v>30</v>
      </c>
      <c r="C167" s="5" t="s">
        <v>151</v>
      </c>
      <c r="D167" s="2" t="s">
        <v>152</v>
      </c>
      <c r="E167" s="6">
        <f t="shared" si="12"/>
        <v>265.46155755911855</v>
      </c>
      <c r="F167" s="6">
        <f t="shared" si="12"/>
      </c>
      <c r="G167" s="6">
        <f t="shared" si="12"/>
      </c>
      <c r="H167" s="6">
        <f t="shared" si="12"/>
      </c>
    </row>
    <row r="168" spans="1:8" ht="12" customHeight="1">
      <c r="A168" s="97"/>
      <c r="B168" s="4">
        <v>40</v>
      </c>
      <c r="C168" s="5" t="s">
        <v>151</v>
      </c>
      <c r="D168" s="2" t="s">
        <v>152</v>
      </c>
      <c r="E168" s="6">
        <f t="shared" si="12"/>
        <v>199.0961681693389</v>
      </c>
      <c r="F168" s="6">
        <f t="shared" si="12"/>
      </c>
      <c r="G168" s="6">
        <f t="shared" si="12"/>
      </c>
      <c r="H168" s="6">
        <f t="shared" si="12"/>
      </c>
    </row>
    <row r="169" spans="1:8" ht="12" customHeight="1">
      <c r="A169" s="97"/>
      <c r="B169" s="4">
        <v>50</v>
      </c>
      <c r="C169" s="5" t="s">
        <v>151</v>
      </c>
      <c r="D169" s="2" t="s">
        <v>152</v>
      </c>
      <c r="E169" s="6">
        <f t="shared" si="12"/>
        <v>159.27693453547113</v>
      </c>
      <c r="F169" s="6">
        <f t="shared" si="12"/>
      </c>
      <c r="G169" s="6">
        <f t="shared" si="12"/>
      </c>
      <c r="H169" s="6">
        <f t="shared" si="12"/>
      </c>
    </row>
    <row r="170" spans="1:8" ht="12" customHeight="1">
      <c r="A170" s="97"/>
      <c r="B170" s="4">
        <v>70</v>
      </c>
      <c r="C170" s="5" t="s">
        <v>151</v>
      </c>
      <c r="D170" s="2" t="s">
        <v>152</v>
      </c>
      <c r="E170" s="6">
        <f t="shared" si="12"/>
        <v>113.76923895390796</v>
      </c>
      <c r="F170" s="6">
        <f t="shared" si="12"/>
      </c>
      <c r="G170" s="6">
        <f t="shared" si="12"/>
      </c>
      <c r="H170" s="6">
        <f t="shared" si="12"/>
      </c>
    </row>
    <row r="171" spans="1:8" ht="12" customHeight="1">
      <c r="A171" s="97"/>
      <c r="B171" s="4">
        <v>100</v>
      </c>
      <c r="C171" s="5" t="s">
        <v>151</v>
      </c>
      <c r="D171" s="2" t="s">
        <v>152</v>
      </c>
      <c r="E171" s="6">
        <f t="shared" si="12"/>
        <v>79.63846726773556</v>
      </c>
      <c r="F171" s="6">
        <f t="shared" si="12"/>
      </c>
      <c r="G171" s="6">
        <f t="shared" si="12"/>
      </c>
      <c r="H171" s="6">
        <f t="shared" si="12"/>
      </c>
    </row>
    <row r="172" spans="1:8" ht="12" customHeight="1">
      <c r="A172" s="97"/>
      <c r="B172" s="4">
        <v>150</v>
      </c>
      <c r="C172" s="5" t="s">
        <v>151</v>
      </c>
      <c r="D172" s="2" t="s">
        <v>152</v>
      </c>
      <c r="E172" s="6">
        <f t="shared" si="12"/>
        <v>53.09231151182371</v>
      </c>
      <c r="F172" s="6">
        <f t="shared" si="12"/>
      </c>
      <c r="G172" s="6">
        <f t="shared" si="12"/>
      </c>
      <c r="H172" s="6">
        <f t="shared" si="12"/>
      </c>
    </row>
    <row r="173" spans="1:8" ht="12" customHeight="1">
      <c r="A173" s="97"/>
      <c r="B173" s="4">
        <v>200</v>
      </c>
      <c r="C173" s="5" t="s">
        <v>151</v>
      </c>
      <c r="D173" s="2" t="s">
        <v>152</v>
      </c>
      <c r="E173" s="6">
        <f t="shared" si="12"/>
        <v>39.81923363386778</v>
      </c>
      <c r="F173" s="6">
        <f t="shared" si="12"/>
      </c>
      <c r="G173" s="6">
        <f t="shared" si="12"/>
      </c>
      <c r="H173" s="6">
        <f t="shared" si="12"/>
      </c>
    </row>
    <row r="174" spans="1:8" ht="12" customHeight="1">
      <c r="A174" s="97"/>
      <c r="B174" s="4">
        <v>300</v>
      </c>
      <c r="C174" s="5" t="s">
        <v>151</v>
      </c>
      <c r="D174" s="2" t="s">
        <v>152</v>
      </c>
      <c r="E174" s="6">
        <f t="shared" si="12"/>
        <v>26.546155755911855</v>
      </c>
      <c r="F174" s="6">
        <f t="shared" si="12"/>
      </c>
      <c r="G174" s="6">
        <f t="shared" si="12"/>
      </c>
      <c r="H174" s="6">
        <f t="shared" si="12"/>
      </c>
    </row>
    <row r="175" spans="1:8" ht="12" customHeight="1">
      <c r="A175" s="97"/>
      <c r="B175" s="4">
        <v>400</v>
      </c>
      <c r="C175" s="5" t="s">
        <v>151</v>
      </c>
      <c r="D175" s="2" t="s">
        <v>152</v>
      </c>
      <c r="E175" s="6">
        <f t="shared" si="12"/>
        <v>19.90961681693389</v>
      </c>
      <c r="F175" s="6">
        <f t="shared" si="12"/>
      </c>
      <c r="G175" s="6">
        <f t="shared" si="12"/>
      </c>
      <c r="H175" s="6">
        <f t="shared" si="12"/>
      </c>
    </row>
    <row r="176" spans="1:8" ht="12" customHeight="1">
      <c r="A176" s="97"/>
      <c r="B176" s="4">
        <v>500</v>
      </c>
      <c r="C176" s="5" t="s">
        <v>151</v>
      </c>
      <c r="D176" s="2" t="s">
        <v>152</v>
      </c>
      <c r="E176" s="6">
        <f t="shared" si="12"/>
        <v>15.927693453547112</v>
      </c>
      <c r="F176" s="6">
        <f t="shared" si="12"/>
      </c>
      <c r="G176" s="6">
        <f t="shared" si="12"/>
      </c>
      <c r="H176" s="6">
        <f t="shared" si="12"/>
      </c>
    </row>
    <row r="177" spans="1:8" ht="12" customHeight="1">
      <c r="A177" s="97"/>
      <c r="B177" s="4">
        <v>700</v>
      </c>
      <c r="C177" s="5" t="s">
        <v>151</v>
      </c>
      <c r="D177" s="2" t="s">
        <v>152</v>
      </c>
      <c r="E177" s="6">
        <f t="shared" si="12"/>
        <v>11.376923895390796</v>
      </c>
      <c r="F177" s="6">
        <f t="shared" si="12"/>
      </c>
      <c r="G177" s="6">
        <f t="shared" si="12"/>
      </c>
      <c r="H177" s="6">
        <f t="shared" si="12"/>
      </c>
    </row>
    <row r="178" spans="1:8" ht="12" customHeight="1">
      <c r="A178" s="97"/>
      <c r="B178" s="4" t="s">
        <v>153</v>
      </c>
      <c r="C178" s="5" t="s">
        <v>151</v>
      </c>
      <c r="D178" s="2" t="s">
        <v>152</v>
      </c>
      <c r="E178" s="6">
        <f t="shared" si="12"/>
        <v>7.963846726773556</v>
      </c>
      <c r="F178" s="6">
        <f t="shared" si="12"/>
      </c>
      <c r="G178" s="6">
        <f t="shared" si="12"/>
      </c>
      <c r="H178" s="6">
        <f t="shared" si="12"/>
      </c>
    </row>
    <row r="179" spans="1:8" ht="12" customHeight="1">
      <c r="A179" s="97"/>
      <c r="B179" s="4" t="s">
        <v>154</v>
      </c>
      <c r="C179" s="5" t="s">
        <v>151</v>
      </c>
      <c r="D179" s="2" t="s">
        <v>152</v>
      </c>
      <c r="E179" s="6">
        <f t="shared" si="12"/>
        <v>5.309231151182371</v>
      </c>
      <c r="F179" s="6">
        <f t="shared" si="12"/>
      </c>
      <c r="G179" s="6">
        <f t="shared" si="12"/>
      </c>
      <c r="H179" s="6">
        <f t="shared" si="12"/>
      </c>
    </row>
    <row r="180" spans="1:8" ht="12" customHeight="1">
      <c r="A180" s="97"/>
      <c r="B180" s="4" t="s">
        <v>155</v>
      </c>
      <c r="C180" s="5" t="s">
        <v>151</v>
      </c>
      <c r="D180" s="2" t="s">
        <v>152</v>
      </c>
      <c r="E180" s="6">
        <f t="shared" si="12"/>
        <v>3.981923363386778</v>
      </c>
      <c r="F180" s="6">
        <f t="shared" si="12"/>
      </c>
      <c r="G180" s="6">
        <f t="shared" si="12"/>
      </c>
      <c r="H180" s="6">
        <f t="shared" si="12"/>
      </c>
    </row>
    <row r="181" spans="1:8" ht="12" customHeight="1">
      <c r="A181" s="97"/>
      <c r="B181" s="4" t="s">
        <v>156</v>
      </c>
      <c r="C181" s="5" t="s">
        <v>151</v>
      </c>
      <c r="D181" s="2" t="s">
        <v>152</v>
      </c>
      <c r="E181" s="6">
        <f t="shared" si="12"/>
        <v>2.6546155755911856</v>
      </c>
      <c r="F181" s="6">
        <f t="shared" si="12"/>
      </c>
      <c r="G181" s="6">
        <f t="shared" si="12"/>
      </c>
      <c r="H181" s="6">
        <f t="shared" si="12"/>
      </c>
    </row>
    <row r="182" spans="1:8" ht="12" customHeight="1">
      <c r="A182" s="97"/>
      <c r="B182" s="4" t="s">
        <v>157</v>
      </c>
      <c r="C182" s="5" t="s">
        <v>151</v>
      </c>
      <c r="D182" s="2" t="s">
        <v>152</v>
      </c>
      <c r="E182" s="6">
        <f t="shared" si="12"/>
        <v>1.990961681693389</v>
      </c>
      <c r="F182" s="6">
        <f t="shared" si="12"/>
      </c>
      <c r="G182" s="6">
        <f t="shared" si="12"/>
      </c>
      <c r="H182" s="6">
        <f t="shared" si="12"/>
      </c>
    </row>
    <row r="183" spans="1:8" ht="12" customHeight="1">
      <c r="A183" s="97"/>
      <c r="B183" s="4" t="s">
        <v>158</v>
      </c>
      <c r="C183" s="5" t="s">
        <v>151</v>
      </c>
      <c r="D183" s="2" t="s">
        <v>152</v>
      </c>
      <c r="E183" s="6">
        <f t="shared" si="12"/>
        <v>1.5927693453547114</v>
      </c>
      <c r="F183" s="6">
        <f t="shared" si="12"/>
      </c>
      <c r="G183" s="6">
        <f t="shared" si="12"/>
      </c>
      <c r="H183" s="6">
        <f t="shared" si="12"/>
      </c>
    </row>
    <row r="184" spans="1:8" ht="12" customHeight="1">
      <c r="A184" s="97"/>
      <c r="B184" s="4" t="s">
        <v>159</v>
      </c>
      <c r="C184" s="5" t="s">
        <v>151</v>
      </c>
      <c r="D184" s="2" t="s">
        <v>152</v>
      </c>
      <c r="E184" s="6">
        <f t="shared" si="12"/>
        <v>1.1376923895390796</v>
      </c>
      <c r="F184" s="6">
        <f t="shared" si="12"/>
      </c>
      <c r="G184" s="6">
        <f t="shared" si="12"/>
      </c>
      <c r="H184" s="6">
        <f t="shared" si="12"/>
      </c>
    </row>
    <row r="185" spans="1:8" ht="12" customHeight="1">
      <c r="A185" s="97"/>
      <c r="B185" s="4" t="s">
        <v>160</v>
      </c>
      <c r="C185" s="5" t="s">
        <v>151</v>
      </c>
      <c r="D185" s="2" t="s">
        <v>152</v>
      </c>
      <c r="E185" s="6">
        <f t="shared" si="12"/>
        <v>0.7963846726773557</v>
      </c>
      <c r="F185" s="6">
        <f t="shared" si="12"/>
      </c>
      <c r="G185" s="6">
        <f t="shared" si="12"/>
      </c>
      <c r="H185" s="6">
        <f t="shared" si="12"/>
      </c>
    </row>
    <row r="186" spans="1:8" ht="12" customHeight="1">
      <c r="A186" s="97"/>
      <c r="B186" s="4" t="s">
        <v>161</v>
      </c>
      <c r="C186" s="5" t="s">
        <v>151</v>
      </c>
      <c r="D186" s="2" t="s">
        <v>152</v>
      </c>
      <c r="E186" s="6">
        <f t="shared" si="12"/>
        <v>0.5309231151182371</v>
      </c>
      <c r="F186" s="6">
        <f t="shared" si="12"/>
      </c>
      <c r="G186" s="6">
        <f t="shared" si="12"/>
      </c>
      <c r="H186" s="6">
        <f t="shared" si="12"/>
      </c>
    </row>
    <row r="187" spans="1:8" ht="12" customHeight="1">
      <c r="A187" s="98"/>
      <c r="B187" s="4" t="s">
        <v>162</v>
      </c>
      <c r="C187" s="5" t="s">
        <v>151</v>
      </c>
      <c r="D187" s="2" t="s">
        <v>152</v>
      </c>
      <c r="E187" s="6">
        <f t="shared" si="12"/>
        <v>0.39819233633867784</v>
      </c>
      <c r="F187" s="6">
        <f t="shared" si="12"/>
      </c>
      <c r="G187" s="6">
        <f t="shared" si="12"/>
      </c>
      <c r="H187" s="6">
        <f t="shared" si="12"/>
      </c>
    </row>
  </sheetData>
  <sheetProtection password="BF23" sheet="1"/>
  <mergeCells count="14">
    <mergeCell ref="A166:A187"/>
    <mergeCell ref="A26:A33"/>
    <mergeCell ref="A56:A77"/>
    <mergeCell ref="A34:A55"/>
    <mergeCell ref="A100:A121"/>
    <mergeCell ref="A122:A143"/>
    <mergeCell ref="A78:A99"/>
    <mergeCell ref="A24:A25"/>
    <mergeCell ref="A1:F1"/>
    <mergeCell ref="B16:C16"/>
    <mergeCell ref="A144:A165"/>
    <mergeCell ref="A22:A23"/>
    <mergeCell ref="B19:D19"/>
    <mergeCell ref="B28:D28"/>
  </mergeCells>
  <conditionalFormatting sqref="E19:H19">
    <cfRule type="cellIs" priority="1" dxfId="0" operator="notBetween" stopIfTrue="1">
      <formula>0</formula>
      <formula>1</formula>
    </cfRule>
  </conditionalFormatting>
  <conditionalFormatting sqref="E28:H28">
    <cfRule type="cellIs" priority="2" dxfId="0" operator="notBetween" stopIfTrue="1">
      <formula>0</formula>
      <formula>2</formula>
    </cfRule>
  </conditionalFormatting>
  <printOptions horizontalCentered="1"/>
  <pageMargins left="0.7874015748031497" right="0.3937007874015748" top="0.7874015748031497" bottom="0.3937007874015748" header="0.275590551181102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伊東　哲夫</dc:creator>
  <cp:keywords/>
  <dc:description/>
  <cp:lastModifiedBy>user</cp:lastModifiedBy>
  <cp:lastPrinted>2014-05-21T06:11:08Z</cp:lastPrinted>
  <dcterms:created xsi:type="dcterms:W3CDTF">2008-12-20T06:37:17Z</dcterms:created>
  <dcterms:modified xsi:type="dcterms:W3CDTF">2014-05-21T08:28:34Z</dcterms:modified>
  <cp:category/>
  <cp:version/>
  <cp:contentType/>
  <cp:contentStatus/>
</cp:coreProperties>
</file>